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0" documentId="8_{771CE6DC-7FDD-4342-8321-545799991E97}" xr6:coauthVersionLast="47" xr6:coauthVersionMax="47" xr10:uidLastSave="{DC30EBE8-0451-4910-8155-23B614AAD92E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08" sheetId="25" r:id="rId53"/>
    <sheet name="311" sheetId="66" r:id="rId54"/>
    <sheet name="324" sheetId="75" r:id="rId55"/>
    <sheet name="331" sheetId="28" r:id="rId56"/>
    <sheet name="307" sheetId="64" r:id="rId57"/>
    <sheet name="333" sheetId="34" r:id="rId58"/>
    <sheet name="315" sheetId="69" r:id="rId59"/>
    <sheet name="326" sheetId="77" r:id="rId60"/>
    <sheet name="332" sheetId="31" r:id="rId61"/>
    <sheet name="316" sheetId="70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0" sheetId="87" r:id="rId83"/>
    <sheet name="423" sheetId="88" r:id="rId84"/>
    <sheet name="424" sheetId="89" r:id="rId85"/>
    <sheet name="425" sheetId="90" r:id="rId86"/>
    <sheet name="455" sheetId="96" r:id="rId87"/>
    <sheet name="492" sheetId="45" r:id="rId88"/>
    <sheet name="430" sheetId="91" r:id="rId89"/>
    <sheet name="433" sheetId="92" r:id="rId90"/>
    <sheet name="435" sheetId="93" r:id="rId91"/>
    <sheet name="444" sheetId="94" r:id="rId92"/>
    <sheet name="450" sheetId="95" r:id="rId93"/>
    <sheet name="Div 5" sheetId="48" r:id="rId94"/>
    <sheet name="501" sheetId="97" r:id="rId95"/>
    <sheet name="Dept" sheetId="98" state="hidden" r:id="rId96"/>
    <sheet name="OSR_Dept_Y0WUKY" sheetId="99" state="hidden" r:id="rId97"/>
    <sheet name="OSR_Summary (...56e5d78f_5JEYZH" sheetId="100" state="hidden" r:id="rId98"/>
  </sheets>
  <definedNames>
    <definedName name="OSRRefD13x_0" localSheetId="48">'300'!$D$13:$D$79</definedName>
    <definedName name="OSRRefD13x_0" localSheetId="49">'300 &amp; 317'!$D$13:$D$93</definedName>
    <definedName name="OSRRefD13x_0" localSheetId="56">'307'!$D$13:$D$25</definedName>
    <definedName name="OSRRefD13x_0" localSheetId="52">'308'!$D$13:$D$37</definedName>
    <definedName name="OSRRefD13x_0" localSheetId="65">'309'!$D$13:$D$16</definedName>
    <definedName name="OSRRefD13x_0" localSheetId="64">'310'!$D$13:$D$23</definedName>
    <definedName name="OSRRefD13x_0" localSheetId="72">'310 &amp; 491'!$D$13:$D$25</definedName>
    <definedName name="OSRRefD13x_0" localSheetId="53">'311'!$D$13:$D$37</definedName>
    <definedName name="OSRRefD13x_0" localSheetId="66">'313'!$D$13:$D$16</definedName>
    <definedName name="OSRRefD13x_0" localSheetId="58">'315'!$D$13:$D$54</definedName>
    <definedName name="OSRRefD13x_0" localSheetId="61">'316'!$D$13:$D$25</definedName>
    <definedName name="OSRRefD13x_0" localSheetId="63">'317'!$D$13:$D$33</definedName>
    <definedName name="OSRRefD13x_0" localSheetId="67">'321'!$D$13:$D$16</definedName>
    <definedName name="OSRRefD13x_0" localSheetId="54">'324'!$D$13:$D$16</definedName>
    <definedName name="OSRRefD13x_0" localSheetId="69">'325'!$D$13:$D$14</definedName>
    <definedName name="OSRRefD13x_0" localSheetId="59">'326'!$D$13:$D$36</definedName>
    <definedName name="OSRRefD13x_0" localSheetId="70">'327'!$D$13:$D$14</definedName>
    <definedName name="OSRRefD13x_0" localSheetId="55">'331'!$D$13:$D$54</definedName>
    <definedName name="OSRRefD13x_0" localSheetId="60">'332'!$D$13:$D$25</definedName>
    <definedName name="OSRRefD13x_0" localSheetId="57">'333'!$D$13:$D$56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2">'420'!$D$13</definedName>
    <definedName name="OSRRefD13x_0" localSheetId="85">'425'!$D$13</definedName>
    <definedName name="OSRRefD13x_0" localSheetId="89">'433'!$D$13:$D$15</definedName>
    <definedName name="OSRRefD13x_0" localSheetId="91">'444'!$D$13:$D$15</definedName>
    <definedName name="OSRRefD13x_0" localSheetId="92">'450'!$D$13:$D$15</definedName>
    <definedName name="OSRRefD13x_0" localSheetId="73">'491'!$D$13:$D$17</definedName>
    <definedName name="OSRRefD13x_0" localSheetId="87">'492'!$D$13:$D$15</definedName>
    <definedName name="OSRRefD13x_0" localSheetId="94">'501'!$D$13</definedName>
    <definedName name="OSRRefD13x_0" localSheetId="47">'Div 3'!$D$13:$D$84</definedName>
    <definedName name="OSRRefD13x_0" localSheetId="71">'Div 4'!$D$13:$D$18</definedName>
    <definedName name="OSRRefD13x_0" localSheetId="93">'Div 5'!$D$13</definedName>
    <definedName name="OSRRefD13x_0" localSheetId="62">'Div 6'!$D$13:$D$33</definedName>
    <definedName name="OSRRefD13x_0" localSheetId="2">Summary!$D$13:$D$100</definedName>
    <definedName name="OSRRefD16x_0" localSheetId="48">'300'!$D$82:$D$122</definedName>
    <definedName name="OSRRefD16x_0" localSheetId="49">'300 &amp; 317'!$D$96:$D$144</definedName>
    <definedName name="OSRRefD16x_0" localSheetId="50">'301'!$D$15</definedName>
    <definedName name="OSRRefD16x_0" localSheetId="56">'307'!$D$28:$D$37</definedName>
    <definedName name="OSRRefD16x_0" localSheetId="52">'308'!$D$40:$D$56</definedName>
    <definedName name="OSRRefD16x_0" localSheetId="65">'309'!$D$19:$D$20</definedName>
    <definedName name="OSRRefD16x_0" localSheetId="64">'310'!$D$26:$D$28</definedName>
    <definedName name="OSRRefD16x_0" localSheetId="72">'310 &amp; 491'!$D$28:$D$30</definedName>
    <definedName name="OSRRefD16x_0" localSheetId="53">'311'!$D$40:$D$56</definedName>
    <definedName name="OSRRefD16x_0" localSheetId="66">'313'!$D$19</definedName>
    <definedName name="OSRRefD16x_0" localSheetId="58">'315'!$D$57:$D$81</definedName>
    <definedName name="OSRRefD16x_0" localSheetId="61">'316'!$D$28</definedName>
    <definedName name="OSRRefD16x_0" localSheetId="63">'317'!$D$36:$D$48</definedName>
    <definedName name="OSRRefD16x_0" localSheetId="67">'321'!$D$19:$D$21</definedName>
    <definedName name="OSRRefD16x_0" localSheetId="68">'322'!$D$15</definedName>
    <definedName name="OSRRefD16x_0" localSheetId="54">'324'!$D$19:$D$21</definedName>
    <definedName name="OSRRefD16x_0" localSheetId="69">'325'!$D$17:$D$18</definedName>
    <definedName name="OSRRefD16x_0" localSheetId="59">'326'!$D$39:$D$46</definedName>
    <definedName name="OSRRefD16x_0" localSheetId="70">'327'!$D$17:$D$18</definedName>
    <definedName name="OSRRefD16x_0" localSheetId="55">'331'!$D$57:$D$82</definedName>
    <definedName name="OSRRefD16x_0" localSheetId="60">'332'!$D$28:$D$30</definedName>
    <definedName name="OSRRefD16x_0" localSheetId="57">'333'!$D$59:$D$84</definedName>
    <definedName name="OSRRefD16x_0" localSheetId="74">'405'!$D$17:$D$18</definedName>
    <definedName name="OSRRefD16x_0" localSheetId="79">'414'!$D$16</definedName>
    <definedName name="OSRRefD16x_0" localSheetId="80">'415'!$D$17:$D$18</definedName>
    <definedName name="OSRRefD16x_0" localSheetId="81">'418'!$D$15</definedName>
    <definedName name="OSRRefD16x_0" localSheetId="85">'425'!$D$16</definedName>
    <definedName name="OSRRefD16x_0" localSheetId="89">'433'!$D$18:$D$19</definedName>
    <definedName name="OSRRefD16x_0" localSheetId="91">'444'!$D$18:$D$19</definedName>
    <definedName name="OSRRefD16x_0" localSheetId="92">'450'!$D$18:$D$19</definedName>
    <definedName name="OSRRefD16x_0" localSheetId="73">'491'!$D$20:$D$21</definedName>
    <definedName name="OSRRefD16x_0" localSheetId="87">'492'!$D$18:$D$19</definedName>
    <definedName name="OSRRefD16x_0" localSheetId="47">'Div 3'!$D$87:$D$129</definedName>
    <definedName name="OSRRefD16x_0" localSheetId="71">'Div 4'!$D$21:$D$22</definedName>
    <definedName name="OSRRefD16x_0" localSheetId="62">'Div 6'!$D$36:$D$48</definedName>
    <definedName name="OSRRefD16x_0" localSheetId="2">Summary!$D$103:$D$153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'300'!$D$128:$D$137</definedName>
    <definedName name="OSRRefD22_0x_0" localSheetId="49">'300 &amp; 317'!$D$150:$D$159</definedName>
    <definedName name="OSRRefD22_0x_0" localSheetId="50">'301'!$D$21:$D$30</definedName>
    <definedName name="OSRRefD22_0x_0" localSheetId="51">'306'!$D$20:$D$23</definedName>
    <definedName name="OSRRefD22_0x_0" localSheetId="56">'307'!$D$43:$D$45</definedName>
    <definedName name="OSRRefD22_0x_0" localSheetId="52">'308'!$D$62:$D$70</definedName>
    <definedName name="OSRRefD22_0x_0" localSheetId="65">'309'!$D$26:$D$27</definedName>
    <definedName name="OSRRefD22_0x_0" localSheetId="64">'310'!$D$34:$D$42</definedName>
    <definedName name="OSRRefD22_0x_0" localSheetId="72">'310 &amp; 491'!$D$36:$D$44</definedName>
    <definedName name="OSRRefD22_0x_0" localSheetId="53">'311'!$D$62:$D$70</definedName>
    <definedName name="OSRRefD22_0x_0" localSheetId="66">'313'!$D$25:$D$32</definedName>
    <definedName name="OSRRefD22_0x_0" localSheetId="58">'315'!$D$87:$D$94</definedName>
    <definedName name="OSRRefD22_0x_0" localSheetId="61">'316'!$D$34:$D$41</definedName>
    <definedName name="OSRRefD22_0x_0" localSheetId="63">'317'!$D$54:$D$62</definedName>
    <definedName name="OSRRefD22_0x_0" localSheetId="67">'321'!$D$27:$D$35</definedName>
    <definedName name="OSRRefD22_0x_0" localSheetId="68">'322'!$D$21:$D$25</definedName>
    <definedName name="OSRRefD22_0x_0" localSheetId="69">'325'!$D$24:$D$31</definedName>
    <definedName name="OSRRefD22_0x_0" localSheetId="59">'326'!$D$52:$D$59</definedName>
    <definedName name="OSRRefD22_0x_0" localSheetId="70">'327'!$D$24</definedName>
    <definedName name="OSRRefD22_0x_0" localSheetId="55">'331'!$D$88:$D$95</definedName>
    <definedName name="OSRRefD22_0x_0" localSheetId="60">'332'!$D$36:$D$43</definedName>
    <definedName name="OSRRefD22_0x_0" localSheetId="57">'333'!$D$90:$D$97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'414'!$D$22</definedName>
    <definedName name="OSRRefD22_0x_0" localSheetId="80">'415'!$D$24:$D$31</definedName>
    <definedName name="OSRRefD22_0x_0" localSheetId="81">'418'!$D$21:$D$28</definedName>
    <definedName name="OSRRefD22_0x_0" localSheetId="82">'420'!$D$21</definedName>
    <definedName name="OSRRefD22_0x_0" localSheetId="83">'423'!$D$20:$D$21</definedName>
    <definedName name="OSRRefD22_0x_0" localSheetId="84">'424'!$D$20</definedName>
    <definedName name="OSRRefD22_0x_0" localSheetId="85">'425'!$D$22:$D$26</definedName>
    <definedName name="OSRRefD22_0x_0" localSheetId="88">'430'!$D$20:$D$27</definedName>
    <definedName name="OSRRefD22_0x_0" localSheetId="89">'433'!$D$25:$D$33</definedName>
    <definedName name="OSRRefD22_0x_0" localSheetId="90">'435'!$D$20</definedName>
    <definedName name="OSRRefD22_0x_0" localSheetId="91">'444'!$D$25:$D$33</definedName>
    <definedName name="OSRRefD22_0x_0" localSheetId="92">'450'!$D$25:$D$33</definedName>
    <definedName name="OSRRefD22_0x_0" localSheetId="73">'491'!$D$27:$D$34</definedName>
    <definedName name="OSRRefD22_0x_0" localSheetId="87">'492'!$D$25:$D$33</definedName>
    <definedName name="OSRRefD22_0x_0" localSheetId="94">'501'!$D$21:$D$29</definedName>
    <definedName name="OSRRefD22_0x_0" localSheetId="39">'Div 2'!$D$20:$D$30</definedName>
    <definedName name="OSRRefD22_0x_0" localSheetId="47">'Div 3'!$D$135:$D$144</definedName>
    <definedName name="OSRRefD22_0x_0" localSheetId="71">'Div 4'!$D$28:$D$36</definedName>
    <definedName name="OSRRefD22_0x_0" localSheetId="93">'Div 5'!$D$21:$D$29</definedName>
    <definedName name="OSRRefD22_0x_0" localSheetId="62">'Div 6'!$D$54:$D$62</definedName>
    <definedName name="OSRRefD22_0x_0" localSheetId="2">Summary!$D$159:$D$168</definedName>
    <definedName name="OSRRefD22_10x_0" localSheetId="41">'201'!$D$52:$D$53</definedName>
    <definedName name="OSRRefD22_10x_0" localSheetId="42">'202'!$D$53</definedName>
    <definedName name="OSRRefD22_10x_0" localSheetId="43">'203'!$D$56:$D$59</definedName>
    <definedName name="OSRRefD22_10x_0" localSheetId="48">'300'!$D$166:$D$167</definedName>
    <definedName name="OSRRefD22_10x_0" localSheetId="49">'300 &amp; 317'!$D$188:$D$189</definedName>
    <definedName name="OSRRefD22_10x_0" localSheetId="50">'301'!$D$59</definedName>
    <definedName name="OSRRefD22_10x_0" localSheetId="56">'307'!$D$71</definedName>
    <definedName name="OSRRefD22_10x_0" localSheetId="52">'308'!$D$100:$D$101</definedName>
    <definedName name="OSRRefD22_10x_0" localSheetId="65">'309'!$D$50:$D$51</definedName>
    <definedName name="OSRRefD22_10x_0" localSheetId="64">'310'!$D$68</definedName>
    <definedName name="OSRRefD22_10x_0" localSheetId="72">'310 &amp; 491'!$D$72</definedName>
    <definedName name="OSRRefD22_10x_0" localSheetId="53">'311'!$D$100:$D$101</definedName>
    <definedName name="OSRRefD22_10x_0" localSheetId="58">'315'!$D$122:$D$123</definedName>
    <definedName name="OSRRefD22_10x_0" localSheetId="61">'316'!$D$66:$D$70</definedName>
    <definedName name="OSRRefD22_10x_0" localSheetId="63">'317'!$D$89</definedName>
    <definedName name="OSRRefD22_10x_0" localSheetId="67">'321'!$D$62:$D$66</definedName>
    <definedName name="OSRRefD22_10x_0" localSheetId="69">'325'!$D$54:$D$55</definedName>
    <definedName name="OSRRefD22_10x_0" localSheetId="59">'326'!$D$84</definedName>
    <definedName name="OSRRefD22_10x_0" localSheetId="55">'331'!$D$122</definedName>
    <definedName name="OSRRefD22_10x_0" localSheetId="60">'332'!$D$68:$D$72</definedName>
    <definedName name="OSRRefD22_10x_0" localSheetId="57">'333'!$D$124</definedName>
    <definedName name="OSRRefD22_10x_0" localSheetId="74">'405'!$D$55:$D$56</definedName>
    <definedName name="OSRRefD22_10x_0" localSheetId="76">'411'!$D$54:$D$56</definedName>
    <definedName name="OSRRefD22_10x_0" localSheetId="80">'415'!$D$56</definedName>
    <definedName name="OSRRefD22_10x_0" localSheetId="81">'418'!$D$53</definedName>
    <definedName name="OSRRefD22_10x_0" localSheetId="89">'433'!$D$57</definedName>
    <definedName name="OSRRefD22_10x_0" localSheetId="91">'444'!$D$58</definedName>
    <definedName name="OSRRefD22_10x_0" localSheetId="92">'450'!$D$57</definedName>
    <definedName name="OSRRefD22_10x_0" localSheetId="73">'491'!$D$60</definedName>
    <definedName name="OSRRefD22_10x_0" localSheetId="87">'492'!$D$59</definedName>
    <definedName name="OSRRefD22_10x_0" localSheetId="94">'501'!$D$59</definedName>
    <definedName name="OSRRefD22_10x_0" localSheetId="39">'Div 2'!$D$56</definedName>
    <definedName name="OSRRefD22_10x_0" localSheetId="47">'Div 3'!$D$173:$D$174</definedName>
    <definedName name="OSRRefD22_10x_0" localSheetId="71">'Div 4'!$D$63</definedName>
    <definedName name="OSRRefD22_10x_0" localSheetId="93">'Div 5'!$D$59</definedName>
    <definedName name="OSRRefD22_10x_0" localSheetId="62">'Div 6'!$D$89</definedName>
    <definedName name="OSRRefD22_10x_0" localSheetId="2">Summary!$D$197:$D$198</definedName>
    <definedName name="OSRRefD22_11x_0" localSheetId="41">'201'!$D$55</definedName>
    <definedName name="OSRRefD22_11x_0" localSheetId="42">'202'!$D$55</definedName>
    <definedName name="OSRRefD22_11x_0" localSheetId="43">'203'!$D$61</definedName>
    <definedName name="OSRRefD22_11x_0" localSheetId="48">'300'!$D$169</definedName>
    <definedName name="OSRRefD22_11x_0" localSheetId="49">'300 &amp; 317'!$D$191</definedName>
    <definedName name="OSRRefD22_11x_0" localSheetId="50">'301'!$D$61</definedName>
    <definedName name="OSRRefD22_11x_0" localSheetId="56">'307'!$D$73:$D$76</definedName>
    <definedName name="OSRRefD22_11x_0" localSheetId="52">'308'!$D$103:$D$104</definedName>
    <definedName name="OSRRefD22_11x_0" localSheetId="65">'309'!$D$53</definedName>
    <definedName name="OSRRefD22_11x_0" localSheetId="64">'310'!$D$70:$D$71</definedName>
    <definedName name="OSRRefD22_11x_0" localSheetId="72">'310 &amp; 491'!$D$74</definedName>
    <definedName name="OSRRefD22_11x_0" localSheetId="53">'311'!$D$103:$D$104</definedName>
    <definedName name="OSRRefD22_11x_0" localSheetId="58">'315'!$D$125:$D$126</definedName>
    <definedName name="OSRRefD22_11x_0" localSheetId="61">'316'!$D$72</definedName>
    <definedName name="OSRRefD22_11x_0" localSheetId="67">'321'!$D$68</definedName>
    <definedName name="OSRRefD22_11x_0" localSheetId="69">'325'!$D$57:$D$60</definedName>
    <definedName name="OSRRefD22_11x_0" localSheetId="59">'326'!$D$86:$D$88</definedName>
    <definedName name="OSRRefD22_11x_0" localSheetId="55">'331'!$D$124:$D$125</definedName>
    <definedName name="OSRRefD22_11x_0" localSheetId="60">'332'!$D$74</definedName>
    <definedName name="OSRRefD22_11x_0" localSheetId="57">'333'!$D$126:$D$127</definedName>
    <definedName name="OSRRefD22_11x_0" localSheetId="74">'405'!$D$58:$D$61</definedName>
    <definedName name="OSRRefD22_11x_0" localSheetId="76">'411'!$D$58:$D$59</definedName>
    <definedName name="OSRRefD22_11x_0" localSheetId="80">'415'!$D$58:$D$59</definedName>
    <definedName name="OSRRefD22_11x_0" localSheetId="81">'418'!$D$55:$D$59</definedName>
    <definedName name="OSRRefD22_11x_0" localSheetId="89">'433'!$D$59:$D$60</definedName>
    <definedName name="OSRRefD22_11x_0" localSheetId="91">'444'!$D$60:$D$61</definedName>
    <definedName name="OSRRefD22_11x_0" localSheetId="92">'450'!$D$59</definedName>
    <definedName name="OSRRefD22_11x_0" localSheetId="73">'491'!$D$62</definedName>
    <definedName name="OSRRefD22_11x_0" localSheetId="87">'492'!$D$61</definedName>
    <definedName name="OSRRefD22_11x_0" localSheetId="39">'Div 2'!$D$58</definedName>
    <definedName name="OSRRefD22_11x_0" localSheetId="47">'Div 3'!$D$176</definedName>
    <definedName name="OSRRefD22_11x_0" localSheetId="71">'Div 4'!$D$65</definedName>
    <definedName name="OSRRefD22_11x_0" localSheetId="2">Summary!$D$200</definedName>
    <definedName name="OSRRefD22_12x_0" localSheetId="41">'201'!$D$57:$D$58</definedName>
    <definedName name="OSRRefD22_12x_0" localSheetId="42">'202'!$D$57</definedName>
    <definedName name="OSRRefD22_12x_0" localSheetId="43">'203'!$D$63</definedName>
    <definedName name="OSRRefD22_12x_0" localSheetId="48">'300'!$D$171</definedName>
    <definedName name="OSRRefD22_12x_0" localSheetId="49">'300 &amp; 317'!$D$193</definedName>
    <definedName name="OSRRefD22_12x_0" localSheetId="50">'301'!$D$63</definedName>
    <definedName name="OSRRefD22_12x_0" localSheetId="56">'307'!$D$78</definedName>
    <definedName name="OSRRefD22_12x_0" localSheetId="52">'308'!$D$106:$D$107</definedName>
    <definedName name="OSRRefD22_12x_0" localSheetId="65">'309'!$D$55</definedName>
    <definedName name="OSRRefD22_12x_0" localSheetId="64">'310'!$D$73</definedName>
    <definedName name="OSRRefD22_12x_0" localSheetId="72">'310 &amp; 491'!$D$76</definedName>
    <definedName name="OSRRefD22_12x_0" localSheetId="53">'311'!$D$106:$D$107</definedName>
    <definedName name="OSRRefD22_12x_0" localSheetId="58">'315'!$D$128:$D$129</definedName>
    <definedName name="OSRRefD22_12x_0" localSheetId="61">'316'!$D$74</definedName>
    <definedName name="OSRRefD22_12x_0" localSheetId="67">'321'!$D$70</definedName>
    <definedName name="OSRRefD22_12x_0" localSheetId="69">'325'!$D$62:$D$66</definedName>
    <definedName name="OSRRefD22_12x_0" localSheetId="59">'326'!$D$90:$D$92</definedName>
    <definedName name="OSRRefD22_12x_0" localSheetId="55">'331'!$D$127</definedName>
    <definedName name="OSRRefD22_12x_0" localSheetId="60">'332'!$D$76</definedName>
    <definedName name="OSRRefD22_12x_0" localSheetId="57">'333'!$D$129</definedName>
    <definedName name="OSRRefD22_12x_0" localSheetId="74">'405'!$D$63</definedName>
    <definedName name="OSRRefD22_12x_0" localSheetId="76">'411'!$D$61</definedName>
    <definedName name="OSRRefD22_12x_0" localSheetId="80">'415'!$D$61:$D$64</definedName>
    <definedName name="OSRRefD22_12x_0" localSheetId="81">'418'!$D$61</definedName>
    <definedName name="OSRRefD22_12x_0" localSheetId="89">'433'!$D$62:$D$64</definedName>
    <definedName name="OSRRefD22_12x_0" localSheetId="91">'444'!$D$63:$D$66</definedName>
    <definedName name="OSRRefD22_12x_0" localSheetId="92">'450'!$D$61:$D$62</definedName>
    <definedName name="OSRRefD22_12x_0" localSheetId="73">'491'!$D$64</definedName>
    <definedName name="OSRRefD22_12x_0" localSheetId="87">'492'!$D$63:$D$65</definedName>
    <definedName name="OSRRefD22_12x_0" localSheetId="39">'Div 2'!$D$60:$D$62</definedName>
    <definedName name="OSRRefD22_12x_0" localSheetId="47">'Div 3'!$D$178</definedName>
    <definedName name="OSRRefD22_12x_0" localSheetId="71">'Div 4'!$D$67</definedName>
    <definedName name="OSRRefD22_12x_0" localSheetId="2">Summary!$D$202</definedName>
    <definedName name="OSRRefD22_13x_0" localSheetId="41">'201'!$D$60</definedName>
    <definedName name="OSRRefD22_13x_0" localSheetId="43">'203'!$D$65</definedName>
    <definedName name="OSRRefD22_13x_0" localSheetId="48">'300'!$D$173:$D$174</definedName>
    <definedName name="OSRRefD22_13x_0" localSheetId="49">'300 &amp; 317'!$D$195:$D$196</definedName>
    <definedName name="OSRRefD22_13x_0" localSheetId="50">'301'!$D$65</definedName>
    <definedName name="OSRRefD22_13x_0" localSheetId="56">'307'!$D$80</definedName>
    <definedName name="OSRRefD22_13x_0" localSheetId="52">'308'!$D$109</definedName>
    <definedName name="OSRRefD22_13x_0" localSheetId="64">'310'!$D$75:$D$78</definedName>
    <definedName name="OSRRefD22_13x_0" localSheetId="72">'310 &amp; 491'!$D$78:$D$80</definedName>
    <definedName name="OSRRefD22_13x_0" localSheetId="53">'311'!$D$109</definedName>
    <definedName name="OSRRefD22_13x_0" localSheetId="58">'315'!$D$131:$D$135</definedName>
    <definedName name="OSRRefD22_13x_0" localSheetId="67">'321'!$D$72</definedName>
    <definedName name="OSRRefD22_13x_0" localSheetId="69">'325'!$D$68</definedName>
    <definedName name="OSRRefD22_13x_0" localSheetId="59">'326'!$D$94:$D$95</definedName>
    <definedName name="OSRRefD22_13x_0" localSheetId="55">'331'!$D$129</definedName>
    <definedName name="OSRRefD22_13x_0" localSheetId="57">'333'!$D$131</definedName>
    <definedName name="OSRRefD22_13x_0" localSheetId="74">'405'!$D$65:$D$72</definedName>
    <definedName name="OSRRefD22_13x_0" localSheetId="76">'411'!$D$63:$D$64</definedName>
    <definedName name="OSRRefD22_13x_0" localSheetId="80">'415'!$D$66</definedName>
    <definedName name="OSRRefD22_13x_0" localSheetId="81">'418'!$D$63</definedName>
    <definedName name="OSRRefD22_13x_0" localSheetId="89">'433'!$D$66:$D$73</definedName>
    <definedName name="OSRRefD22_13x_0" localSheetId="91">'444'!$D$68</definedName>
    <definedName name="OSRRefD22_13x_0" localSheetId="92">'450'!$D$64:$D$66</definedName>
    <definedName name="OSRRefD22_13x_0" localSheetId="73">'491'!$D$66:$D$68</definedName>
    <definedName name="OSRRefD22_13x_0" localSheetId="87">'492'!$D$67:$D$70</definedName>
    <definedName name="OSRRefD22_13x_0" localSheetId="39">'Div 2'!$D$64:$D$67</definedName>
    <definedName name="OSRRefD22_13x_0" localSheetId="47">'Div 3'!$D$180</definedName>
    <definedName name="OSRRefD22_13x_0" localSheetId="71">'Div 4'!$D$69</definedName>
    <definedName name="OSRRefD22_13x_0" localSheetId="2">Summary!$D$204</definedName>
    <definedName name="OSRRefD22_14x_0" localSheetId="41">'201'!$D$62</definedName>
    <definedName name="OSRRefD22_14x_0" localSheetId="48">'300'!$D$176</definedName>
    <definedName name="OSRRefD22_14x_0" localSheetId="49">'300 &amp; 317'!$D$198</definedName>
    <definedName name="OSRRefD22_14x_0" localSheetId="50">'301'!$D$67</definedName>
    <definedName name="OSRRefD22_14x_0" localSheetId="64">'310'!$D$80:$D$85</definedName>
    <definedName name="OSRRefD22_14x_0" localSheetId="72">'310 &amp; 491'!$D$82</definedName>
    <definedName name="OSRRefD22_14x_0" localSheetId="58">'315'!$D$137</definedName>
    <definedName name="OSRRefD22_14x_0" localSheetId="69">'325'!$D$70</definedName>
    <definedName name="OSRRefD22_14x_0" localSheetId="59">'326'!$D$97:$D$100</definedName>
    <definedName name="OSRRefD22_14x_0" localSheetId="55">'331'!$D$131:$D$133</definedName>
    <definedName name="OSRRefD22_14x_0" localSheetId="57">'333'!$D$133:$D$135</definedName>
    <definedName name="OSRRefD22_14x_0" localSheetId="74">'405'!$D$74</definedName>
    <definedName name="OSRRefD22_14x_0" localSheetId="76">'411'!$D$66</definedName>
    <definedName name="OSRRefD22_14x_0" localSheetId="80">'415'!$D$68:$D$73</definedName>
    <definedName name="OSRRefD22_14x_0" localSheetId="89">'433'!$D$75</definedName>
    <definedName name="OSRRefD22_14x_0" localSheetId="91">'444'!$D$70:$D$77</definedName>
    <definedName name="OSRRefD22_14x_0" localSheetId="92">'450'!$D$68:$D$73</definedName>
    <definedName name="OSRRefD22_14x_0" localSheetId="73">'491'!$D$70</definedName>
    <definedName name="OSRRefD22_14x_0" localSheetId="87">'492'!$D$72</definedName>
    <definedName name="OSRRefD22_14x_0" localSheetId="39">'Div 2'!$D$69</definedName>
    <definedName name="OSRRefD22_14x_0" localSheetId="47">'Div 3'!$D$182:$D$183</definedName>
    <definedName name="OSRRefD22_14x_0" localSheetId="71">'Div 4'!$D$71</definedName>
    <definedName name="OSRRefD22_14x_0" localSheetId="2">Summary!$D$206:$D$207</definedName>
    <definedName name="OSRRefD22_15x_0" localSheetId="48">'300'!$D$178</definedName>
    <definedName name="OSRRefD22_15x_0" localSheetId="49">'300 &amp; 317'!$D$200</definedName>
    <definedName name="OSRRefD22_15x_0" localSheetId="50">'301'!$D$69:$D$72</definedName>
    <definedName name="OSRRefD22_15x_0" localSheetId="64">'310'!$D$87</definedName>
    <definedName name="OSRRefD22_15x_0" localSheetId="72">'310 &amp; 491'!$D$84:$D$87</definedName>
    <definedName name="OSRRefD22_15x_0" localSheetId="58">'315'!$D$139</definedName>
    <definedName name="OSRRefD22_15x_0" localSheetId="69">'325'!$D$72</definedName>
    <definedName name="OSRRefD22_15x_0" localSheetId="59">'326'!$D$102</definedName>
    <definedName name="OSRRefD22_15x_0" localSheetId="55">'331'!$D$135:$D$136</definedName>
    <definedName name="OSRRefD22_15x_0" localSheetId="57">'333'!$D$137:$D$138</definedName>
    <definedName name="OSRRefD22_15x_0" localSheetId="74">'405'!$D$76</definedName>
    <definedName name="OSRRefD22_15x_0" localSheetId="80">'415'!$D$75</definedName>
    <definedName name="OSRRefD22_15x_0" localSheetId="91">'444'!$D$79</definedName>
    <definedName name="OSRRefD22_15x_0" localSheetId="92">'450'!$D$75</definedName>
    <definedName name="OSRRefD22_15x_0" localSheetId="73">'491'!$D$72:$D$75</definedName>
    <definedName name="OSRRefD22_15x_0" localSheetId="87">'492'!$D$74:$D$81</definedName>
    <definedName name="OSRRefD22_15x_0" localSheetId="39">'Div 2'!$D$71:$D$72</definedName>
    <definedName name="OSRRefD22_15x_0" localSheetId="47">'Div 3'!$D$185</definedName>
    <definedName name="OSRRefD22_15x_0" localSheetId="71">'Div 4'!$D$73:$D$75</definedName>
    <definedName name="OSRRefD22_15x_0" localSheetId="2">Summary!$D$209</definedName>
    <definedName name="OSRRefD22_16x_0" localSheetId="48">'300'!$D$180:$D$183</definedName>
    <definedName name="OSRRefD22_16x_0" localSheetId="49">'300 &amp; 317'!$D$202:$D$205</definedName>
    <definedName name="OSRRefD22_16x_0" localSheetId="50">'301'!$D$74:$D$76</definedName>
    <definedName name="OSRRefD22_16x_0" localSheetId="64">'310'!$D$89</definedName>
    <definedName name="OSRRefD22_16x_0" localSheetId="72">'310 &amp; 491'!$D$89</definedName>
    <definedName name="OSRRefD22_16x_0" localSheetId="58">'315'!$D$141</definedName>
    <definedName name="OSRRefD22_16x_0" localSheetId="59">'326'!$D$104</definedName>
    <definedName name="OSRRefD22_16x_0" localSheetId="55">'331'!$D$138:$D$140</definedName>
    <definedName name="OSRRefD22_16x_0" localSheetId="57">'333'!$D$140:$D$143</definedName>
    <definedName name="OSRRefD22_16x_0" localSheetId="74">'405'!$D$78</definedName>
    <definedName name="OSRRefD22_16x_0" localSheetId="80">'415'!$D$77</definedName>
    <definedName name="OSRRefD22_16x_0" localSheetId="91">'444'!$D$81</definedName>
    <definedName name="OSRRefD22_16x_0" localSheetId="92">'450'!$D$77</definedName>
    <definedName name="OSRRefD22_16x_0" localSheetId="73">'491'!$D$77</definedName>
    <definedName name="OSRRefD22_16x_0" localSheetId="87">'492'!$D$83</definedName>
    <definedName name="OSRRefD22_16x_0" localSheetId="39">'Div 2'!$D$74:$D$78</definedName>
    <definedName name="OSRRefD22_16x_0" localSheetId="47">'Div 3'!$D$187</definedName>
    <definedName name="OSRRefD22_16x_0" localSheetId="71">'Div 4'!$D$77</definedName>
    <definedName name="OSRRefD22_16x_0" localSheetId="2">Summary!$D$211</definedName>
    <definedName name="OSRRefD22_17x_0" localSheetId="48">'300'!$D$185:$D$187</definedName>
    <definedName name="OSRRefD22_17x_0" localSheetId="49">'300 &amp; 317'!$D$207:$D$209</definedName>
    <definedName name="OSRRefD22_17x_0" localSheetId="50">'301'!$D$78</definedName>
    <definedName name="OSRRefD22_17x_0" localSheetId="64">'310'!$D$91</definedName>
    <definedName name="OSRRefD22_17x_0" localSheetId="72">'310 &amp; 491'!$D$91:$D$99</definedName>
    <definedName name="OSRRefD22_17x_0" localSheetId="59">'326'!$D$106</definedName>
    <definedName name="OSRRefD22_17x_0" localSheetId="55">'331'!$D$142:$D$143</definedName>
    <definedName name="OSRRefD22_17x_0" localSheetId="57">'333'!$D$145:$D$146</definedName>
    <definedName name="OSRRefD22_17x_0" localSheetId="80">'415'!$D$79</definedName>
    <definedName name="OSRRefD22_17x_0" localSheetId="73">'491'!$D$79:$D$87</definedName>
    <definedName name="OSRRefD22_17x_0" localSheetId="87">'492'!$D$85</definedName>
    <definedName name="OSRRefD22_17x_0" localSheetId="39">'Div 2'!$D$80:$D$81</definedName>
    <definedName name="OSRRefD22_17x_0" localSheetId="47">'Div 3'!$D$189:$D$192</definedName>
    <definedName name="OSRRefD22_17x_0" localSheetId="71">'Div 4'!$D$79:$D$82</definedName>
    <definedName name="OSRRefD22_17x_0" localSheetId="2">Summary!$D$213</definedName>
    <definedName name="OSRRefD22_18x_0" localSheetId="48">'300'!$D$189:$D$192</definedName>
    <definedName name="OSRRefD22_18x_0" localSheetId="49">'300 &amp; 317'!$D$211:$D$214</definedName>
    <definedName name="OSRRefD22_18x_0" localSheetId="50">'301'!$D$80:$D$85</definedName>
    <definedName name="OSRRefD22_18x_0" localSheetId="72">'310 &amp; 491'!$D$101</definedName>
    <definedName name="OSRRefD22_18x_0" localSheetId="55">'331'!$D$145:$D$150</definedName>
    <definedName name="OSRRefD22_18x_0" localSheetId="57">'333'!$D$148:$D$153</definedName>
    <definedName name="OSRRefD22_18x_0" localSheetId="73">'491'!$D$89</definedName>
    <definedName name="OSRRefD22_18x_0" localSheetId="87">'492'!$D$87:$D$88</definedName>
    <definedName name="OSRRefD22_18x_0" localSheetId="39">'Div 2'!$D$83</definedName>
    <definedName name="OSRRefD22_18x_0" localSheetId="47">'Div 3'!$D$194:$D$196</definedName>
    <definedName name="OSRRefD22_18x_0" localSheetId="71">'Div 4'!$D$84:$D$85</definedName>
    <definedName name="OSRRefD22_18x_0" localSheetId="2">Summary!$D$215:$D$218</definedName>
    <definedName name="OSRRefD22_19x_0" localSheetId="48">'300'!$D$194:$D$195</definedName>
    <definedName name="OSRRefD22_19x_0" localSheetId="49">'300 &amp; 317'!$D$216:$D$217</definedName>
    <definedName name="OSRRefD22_19x_0" localSheetId="50">'301'!$D$87</definedName>
    <definedName name="OSRRefD22_19x_0" localSheetId="72">'310 &amp; 491'!$D$103</definedName>
    <definedName name="OSRRefD22_19x_0" localSheetId="55">'331'!$D$152</definedName>
    <definedName name="OSRRefD22_19x_0" localSheetId="57">'333'!$D$155</definedName>
    <definedName name="OSRRefD22_19x_0" localSheetId="73">'491'!$D$91</definedName>
    <definedName name="OSRRefD22_19x_0" localSheetId="39">'Div 2'!$D$85:$D$86</definedName>
    <definedName name="OSRRefD22_19x_0" localSheetId="47">'Div 3'!$D$198:$D$202</definedName>
    <definedName name="OSRRefD22_19x_0" localSheetId="71">'Div 4'!$D$87:$D$95</definedName>
    <definedName name="OSRRefD22_19x_0" localSheetId="2">Summary!$D$220:$D$222</definedName>
    <definedName name="OSRRefD22_1x_0" localSheetId="40">'200'!$D$22</definedName>
    <definedName name="OSRRefD22_1x_0" localSheetId="41">'201'!$D$29:$D$32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'206'!$D$29:$D$32</definedName>
    <definedName name="OSRRefD22_1x_0" localSheetId="48">'300'!$D$139:$D$145</definedName>
    <definedName name="OSRRefD22_1x_0" localSheetId="49">'300 &amp; 317'!$D$161:$D$167</definedName>
    <definedName name="OSRRefD22_1x_0" localSheetId="50">'301'!$D$32:$D$38</definedName>
    <definedName name="OSRRefD22_1x_0" localSheetId="51">'306'!$D$25:$D$26</definedName>
    <definedName name="OSRRefD22_1x_0" localSheetId="56">'307'!$D$47:$D$50</definedName>
    <definedName name="OSRRefD22_1x_0" localSheetId="52">'308'!$D$72:$D$78</definedName>
    <definedName name="OSRRefD22_1x_0" localSheetId="65">'309'!$D$29:$D$30</definedName>
    <definedName name="OSRRefD22_1x_0" localSheetId="64">'310'!$D$44:$D$49</definedName>
    <definedName name="OSRRefD22_1x_0" localSheetId="72">'310 &amp; 491'!$D$46:$D$52</definedName>
    <definedName name="OSRRefD22_1x_0" localSheetId="53">'311'!$D$72:$D$78</definedName>
    <definedName name="OSRRefD22_1x_0" localSheetId="66">'313'!$D$34</definedName>
    <definedName name="OSRRefD22_1x_0" localSheetId="58">'315'!$D$96:$D$101</definedName>
    <definedName name="OSRRefD22_1x_0" localSheetId="61">'316'!$D$43:$D$45</definedName>
    <definedName name="OSRRefD22_1x_0" localSheetId="63">'317'!$D$64:$D$68</definedName>
    <definedName name="OSRRefD22_1x_0" localSheetId="67">'321'!$D$37:$D$42</definedName>
    <definedName name="OSRRefD22_1x_0" localSheetId="68">'322'!$D$27</definedName>
    <definedName name="OSRRefD22_1x_0" localSheetId="69">'325'!$D$33:$D$35</definedName>
    <definedName name="OSRRefD22_1x_0" localSheetId="59">'326'!$D$61:$D$66</definedName>
    <definedName name="OSRRefD22_1x_0" localSheetId="70">'327'!$D$26</definedName>
    <definedName name="OSRRefD22_1x_0" localSheetId="55">'331'!$D$97:$D$102</definedName>
    <definedName name="OSRRefD22_1x_0" localSheetId="60">'332'!$D$45:$D$47</definedName>
    <definedName name="OSRRefD22_1x_0" localSheetId="57">'333'!$D$99:$D$104</definedName>
    <definedName name="OSRRefD22_1x_0" localSheetId="74">'405'!$D$33:$D$36</definedName>
    <definedName name="OSRRefD22_1x_0" localSheetId="75">'406'!$D$22</definedName>
    <definedName name="OSRRefD22_1x_0" localSheetId="76">'411'!$D$29:$D$33</definedName>
    <definedName name="OSRRefD22_1x_0" localSheetId="77">'412'!$D$22</definedName>
    <definedName name="OSRRefD22_1x_0" localSheetId="78">'413'!$D$26</definedName>
    <definedName name="OSRRefD22_1x_0" localSheetId="79">'414'!$D$24</definedName>
    <definedName name="OSRRefD22_1x_0" localSheetId="80">'415'!$D$33:$D$37</definedName>
    <definedName name="OSRRefD22_1x_0" localSheetId="81">'418'!$D$30:$D$33</definedName>
    <definedName name="OSRRefD22_1x_0" localSheetId="83">'423'!$D$23</definedName>
    <definedName name="OSRRefD22_1x_0" localSheetId="84">'424'!$D$22</definedName>
    <definedName name="OSRRefD22_1x_0" localSheetId="85">'425'!$D$28</definedName>
    <definedName name="OSRRefD22_1x_0" localSheetId="88">'430'!$D$29</definedName>
    <definedName name="OSRRefD22_1x_0" localSheetId="89">'433'!$D$35:$D$39</definedName>
    <definedName name="OSRRefD22_1x_0" localSheetId="90">'435'!$D$22</definedName>
    <definedName name="OSRRefD22_1x_0" localSheetId="91">'444'!$D$35:$D$40</definedName>
    <definedName name="OSRRefD22_1x_0" localSheetId="92">'450'!$D$35:$D$39</definedName>
    <definedName name="OSRRefD22_1x_0" localSheetId="73">'491'!$D$36:$D$41</definedName>
    <definedName name="OSRRefD22_1x_0" localSheetId="87">'492'!$D$35:$D$41</definedName>
    <definedName name="OSRRefD22_1x_0" localSheetId="94">'501'!$D$31:$D$36</definedName>
    <definedName name="OSRRefD22_1x_0" localSheetId="39">'Div 2'!$D$32:$D$37</definedName>
    <definedName name="OSRRefD22_1x_0" localSheetId="47">'Div 3'!$D$146:$D$152</definedName>
    <definedName name="OSRRefD22_1x_0" localSheetId="71">'Div 4'!$D$38:$D$44</definedName>
    <definedName name="OSRRefD22_1x_0" localSheetId="93">'Div 5'!$D$31:$D$36</definedName>
    <definedName name="OSRRefD22_1x_0" localSheetId="62">'Div 6'!$D$64:$D$68</definedName>
    <definedName name="OSRRefD22_1x_0" localSheetId="2">Summary!$D$170:$D$176</definedName>
    <definedName name="OSRRefD22_20x_0" localSheetId="48">'300'!$D$197:$D$203</definedName>
    <definedName name="OSRRefD22_20x_0" localSheetId="49">'300 &amp; 317'!$D$219:$D$225</definedName>
    <definedName name="OSRRefD22_20x_0" localSheetId="50">'301'!$D$89</definedName>
    <definedName name="OSRRefD22_20x_0" localSheetId="72">'310 &amp; 491'!$D$105:$D$106</definedName>
    <definedName name="OSRRefD22_20x_0" localSheetId="55">'331'!$D$154</definedName>
    <definedName name="OSRRefD22_20x_0" localSheetId="57">'333'!$D$157</definedName>
    <definedName name="OSRRefD22_20x_0" localSheetId="73">'491'!$D$93:$D$94</definedName>
    <definedName name="OSRRefD22_20x_0" localSheetId="47">'Div 3'!$D$204:$D$205</definedName>
    <definedName name="OSRRefD22_20x_0" localSheetId="71">'Div 4'!$D$97</definedName>
    <definedName name="OSRRefD22_20x_0" localSheetId="2">Summary!$D$224:$D$228</definedName>
    <definedName name="OSRRefD22_21x_0" localSheetId="48">'300'!$D$205:$D$206</definedName>
    <definedName name="OSRRefD22_21x_0" localSheetId="49">'300 &amp; 317'!$D$227:$D$228</definedName>
    <definedName name="OSRRefD22_21x_0" localSheetId="50">'301'!$D$91:$D$92</definedName>
    <definedName name="OSRRefD22_21x_0" localSheetId="72">'310 &amp; 491'!$D$108</definedName>
    <definedName name="OSRRefD22_21x_0" localSheetId="55">'331'!$D$156</definedName>
    <definedName name="OSRRefD22_21x_0" localSheetId="57">'333'!$D$159</definedName>
    <definedName name="OSRRefD22_21x_0" localSheetId="73">'491'!$D$96</definedName>
    <definedName name="OSRRefD22_21x_0" localSheetId="47">'Div 3'!$D$207:$D$213</definedName>
    <definedName name="OSRRefD22_21x_0" localSheetId="71">'Div 4'!$D$99</definedName>
    <definedName name="OSRRefD22_21x_0" localSheetId="2">Summary!$D$230:$D$231</definedName>
    <definedName name="OSRRefD22_22x_0" localSheetId="48">'300'!$D$208</definedName>
    <definedName name="OSRRefD22_22x_0" localSheetId="49">'300 &amp; 317'!$D$230</definedName>
    <definedName name="OSRRefD22_22x_0" localSheetId="50">'301'!$D$94</definedName>
    <definedName name="OSRRefD22_22x_0" localSheetId="55">'331'!$D$158</definedName>
    <definedName name="OSRRefD22_22x_0" localSheetId="57">'333'!$D$161</definedName>
    <definedName name="OSRRefD22_22x_0" localSheetId="47">'Div 3'!$D$215:$D$216</definedName>
    <definedName name="OSRRefD22_22x_0" localSheetId="71">'Div 4'!$D$101:$D$102</definedName>
    <definedName name="OSRRefD22_22x_0" localSheetId="2">Summary!$D$233:$D$241</definedName>
    <definedName name="OSRRefD22_23x_0" localSheetId="48">'300'!$D$210:$D$212</definedName>
    <definedName name="OSRRefD22_23x_0" localSheetId="49">'300 &amp; 317'!$D$232:$D$234</definedName>
    <definedName name="OSRRefD22_23x_0" localSheetId="47">'Div 3'!$D$218</definedName>
    <definedName name="OSRRefD22_23x_0" localSheetId="71">'Div 4'!$D$104</definedName>
    <definedName name="OSRRefD22_23x_0" localSheetId="2">Summary!$D$243:$D$244</definedName>
    <definedName name="OSRRefD22_24x_0" localSheetId="48">'300'!$D$214</definedName>
    <definedName name="OSRRefD22_24x_0" localSheetId="49">'300 &amp; 317'!$D$236</definedName>
    <definedName name="OSRRefD22_24x_0" localSheetId="47">'Div 3'!$D$220:$D$222</definedName>
    <definedName name="OSRRefD22_24x_0" localSheetId="2">Summary!$D$246</definedName>
    <definedName name="OSRRefD22_25x_0" localSheetId="47">'Div 3'!$D$224</definedName>
    <definedName name="OSRRefD22_25x_0" localSheetId="2">Summary!$D$248:$D$250</definedName>
    <definedName name="OSRRefD22_26x_0" localSheetId="2">Summary!$D$252</definedName>
    <definedName name="OSRRefD22_2x_0" localSheetId="40">'200'!$D$24</definedName>
    <definedName name="OSRRefD22_2x_0" localSheetId="41">'201'!$D$34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'206'!$D$34</definedName>
    <definedName name="OSRRefD22_2x_0" localSheetId="48">'300'!$D$147</definedName>
    <definedName name="OSRRefD22_2x_0" localSheetId="49">'300 &amp; 317'!$D$169</definedName>
    <definedName name="OSRRefD22_2x_0" localSheetId="50">'301'!$D$40</definedName>
    <definedName name="OSRRefD22_2x_0" localSheetId="51">'306'!$D$28</definedName>
    <definedName name="OSRRefD22_2x_0" localSheetId="56">'307'!$D$52</definedName>
    <definedName name="OSRRefD22_2x_0" localSheetId="52">'308'!$D$80</definedName>
    <definedName name="OSRRefD22_2x_0" localSheetId="65">'309'!$D$32</definedName>
    <definedName name="OSRRefD22_2x_0" localSheetId="64">'310'!$D$51</definedName>
    <definedName name="OSRRefD22_2x_0" localSheetId="72">'310 &amp; 491'!$D$54</definedName>
    <definedName name="OSRRefD22_2x_0" localSheetId="53">'311'!$D$80</definedName>
    <definedName name="OSRRefD22_2x_0" localSheetId="66">'313'!$D$36</definedName>
    <definedName name="OSRRefD22_2x_0" localSheetId="58">'315'!$D$103</definedName>
    <definedName name="OSRRefD22_2x_0" localSheetId="61">'316'!$D$47</definedName>
    <definedName name="OSRRefD22_2x_0" localSheetId="63">'317'!$D$70</definedName>
    <definedName name="OSRRefD22_2x_0" localSheetId="67">'321'!$D$44</definedName>
    <definedName name="OSRRefD22_2x_0" localSheetId="68">'322'!$D$29</definedName>
    <definedName name="OSRRefD22_2x_0" localSheetId="69">'325'!$D$37</definedName>
    <definedName name="OSRRefD22_2x_0" localSheetId="59">'326'!$D$68</definedName>
    <definedName name="OSRRefD22_2x_0" localSheetId="55">'331'!$D$104</definedName>
    <definedName name="OSRRefD22_2x_0" localSheetId="60">'332'!$D$49</definedName>
    <definedName name="OSRRefD22_2x_0" localSheetId="57">'333'!$D$106</definedName>
    <definedName name="OSRRefD22_2x_0" localSheetId="74">'405'!$D$38</definedName>
    <definedName name="OSRRefD22_2x_0" localSheetId="75">'406'!$D$24</definedName>
    <definedName name="OSRRefD22_2x_0" localSheetId="76">'411'!$D$35</definedName>
    <definedName name="OSRRefD22_2x_0" localSheetId="77">'412'!$D$24:$D$25</definedName>
    <definedName name="OSRRefD22_2x_0" localSheetId="78">'413'!$D$28</definedName>
    <definedName name="OSRRefD22_2x_0" localSheetId="79">'414'!$D$26</definedName>
    <definedName name="OSRRefD22_2x_0" localSheetId="80">'415'!$D$39</definedName>
    <definedName name="OSRRefD22_2x_0" localSheetId="81">'418'!$D$35</definedName>
    <definedName name="OSRRefD22_2x_0" localSheetId="83">'423'!$D$25</definedName>
    <definedName name="OSRRefD22_2x_0" localSheetId="84">'424'!$D$24</definedName>
    <definedName name="OSRRefD22_2x_0" localSheetId="85">'425'!$D$30</definedName>
    <definedName name="OSRRefD22_2x_0" localSheetId="88">'430'!$D$31</definedName>
    <definedName name="OSRRefD22_2x_0" localSheetId="89">'433'!$D$41</definedName>
    <definedName name="OSRRefD22_2x_0" localSheetId="91">'444'!$D$42</definedName>
    <definedName name="OSRRefD22_2x_0" localSheetId="92">'450'!$D$41</definedName>
    <definedName name="OSRRefD22_2x_0" localSheetId="73">'491'!$D$43</definedName>
    <definedName name="OSRRefD22_2x_0" localSheetId="87">'492'!$D$43</definedName>
    <definedName name="OSRRefD22_2x_0" localSheetId="94">'501'!$D$38</definedName>
    <definedName name="OSRRefD22_2x_0" localSheetId="39">'Div 2'!$D$39</definedName>
    <definedName name="OSRRefD22_2x_0" localSheetId="47">'Div 3'!$D$154</definedName>
    <definedName name="OSRRefD22_2x_0" localSheetId="71">'Div 4'!$D$46</definedName>
    <definedName name="OSRRefD22_2x_0" localSheetId="93">'Div 5'!$D$38</definedName>
    <definedName name="OSRRefD22_2x_0" localSheetId="62">'Div 6'!$D$70</definedName>
    <definedName name="OSRRefD22_2x_0" localSheetId="2">Summary!$D$178</definedName>
    <definedName name="OSRRefD22_3x_0" localSheetId="40">'200'!$D$26</definedName>
    <definedName name="OSRRefD22_3x_0" localSheetId="41">'201'!$D$36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'206'!$D$36</definedName>
    <definedName name="OSRRefD22_3x_0" localSheetId="48">'300'!$D$149:$D$150</definedName>
    <definedName name="OSRRefD22_3x_0" localSheetId="49">'300 &amp; 317'!$D$171:$D$172</definedName>
    <definedName name="OSRRefD22_3x_0" localSheetId="50">'301'!$D$42:$D$43</definedName>
    <definedName name="OSRRefD22_3x_0" localSheetId="51">'306'!$D$30</definedName>
    <definedName name="OSRRefD22_3x_0" localSheetId="56">'307'!$D$54</definedName>
    <definedName name="OSRRefD22_3x_0" localSheetId="52">'308'!$D$82:$D$83</definedName>
    <definedName name="OSRRefD22_3x_0" localSheetId="65">'309'!$D$34</definedName>
    <definedName name="OSRRefD22_3x_0" localSheetId="64">'310'!$D$53</definedName>
    <definedName name="OSRRefD22_3x_0" localSheetId="72">'310 &amp; 491'!$D$56</definedName>
    <definedName name="OSRRefD22_3x_0" localSheetId="53">'311'!$D$82:$D$83</definedName>
    <definedName name="OSRRefD22_3x_0" localSheetId="66">'313'!$D$38</definedName>
    <definedName name="OSRRefD22_3x_0" localSheetId="58">'315'!$D$105:$D$106</definedName>
    <definedName name="OSRRefD22_3x_0" localSheetId="61">'316'!$D$49</definedName>
    <definedName name="OSRRefD22_3x_0" localSheetId="63">'317'!$D$72</definedName>
    <definedName name="OSRRefD22_3x_0" localSheetId="67">'321'!$D$46</definedName>
    <definedName name="OSRRefD22_3x_0" localSheetId="68">'322'!$D$31</definedName>
    <definedName name="OSRRefD22_3x_0" localSheetId="69">'325'!$D$39</definedName>
    <definedName name="OSRRefD22_3x_0" localSheetId="59">'326'!$D$70</definedName>
    <definedName name="OSRRefD22_3x_0" localSheetId="55">'331'!$D$106</definedName>
    <definedName name="OSRRefD22_3x_0" localSheetId="60">'332'!$D$51</definedName>
    <definedName name="OSRRefD22_3x_0" localSheetId="57">'333'!$D$108</definedName>
    <definedName name="OSRRefD22_3x_0" localSheetId="74">'405'!$D$40</definedName>
    <definedName name="OSRRefD22_3x_0" localSheetId="75">'406'!$D$26</definedName>
    <definedName name="OSRRefD22_3x_0" localSheetId="76">'411'!$D$37:$D$38</definedName>
    <definedName name="OSRRefD22_3x_0" localSheetId="77">'412'!$D$27</definedName>
    <definedName name="OSRRefD22_3x_0" localSheetId="78">'413'!$D$30</definedName>
    <definedName name="OSRRefD22_3x_0" localSheetId="79">'414'!$D$28</definedName>
    <definedName name="OSRRefD22_3x_0" localSheetId="80">'415'!$D$41</definedName>
    <definedName name="OSRRefD22_3x_0" localSheetId="81">'418'!$D$37</definedName>
    <definedName name="OSRRefD22_3x_0" localSheetId="83">'423'!$D$27</definedName>
    <definedName name="OSRRefD22_3x_0" localSheetId="84">'424'!$D$26</definedName>
    <definedName name="OSRRefD22_3x_0" localSheetId="85">'425'!$D$32</definedName>
    <definedName name="OSRRefD22_3x_0" localSheetId="88">'430'!$D$33</definedName>
    <definedName name="OSRRefD22_3x_0" localSheetId="89">'433'!$D$43</definedName>
    <definedName name="OSRRefD22_3x_0" localSheetId="91">'444'!$D$44</definedName>
    <definedName name="OSRRefD22_3x_0" localSheetId="92">'450'!$D$43</definedName>
    <definedName name="OSRRefD22_3x_0" localSheetId="73">'491'!$D$45</definedName>
    <definedName name="OSRRefD22_3x_0" localSheetId="87">'492'!$D$45</definedName>
    <definedName name="OSRRefD22_3x_0" localSheetId="94">'501'!$D$40</definedName>
    <definedName name="OSRRefD22_3x_0" localSheetId="39">'Div 2'!$D$41</definedName>
    <definedName name="OSRRefD22_3x_0" localSheetId="47">'Div 3'!$D$156:$D$157</definedName>
    <definedName name="OSRRefD22_3x_0" localSheetId="71">'Div 4'!$D$48</definedName>
    <definedName name="OSRRefD22_3x_0" localSheetId="93">'Div 5'!$D$40</definedName>
    <definedName name="OSRRefD22_3x_0" localSheetId="62">'Div 6'!$D$72</definedName>
    <definedName name="OSRRefD22_3x_0" localSheetId="2">Summary!$D$180:$D$181</definedName>
    <definedName name="OSRRefD22_4x_0" localSheetId="41">'201'!$D$38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'205'!$D$35:$D$36</definedName>
    <definedName name="OSRRefD22_4x_0" localSheetId="46">'206'!$D$38</definedName>
    <definedName name="OSRRefD22_4x_0" localSheetId="48">'300'!$D$152</definedName>
    <definedName name="OSRRefD22_4x_0" localSheetId="49">'300 &amp; 317'!$D$174</definedName>
    <definedName name="OSRRefD22_4x_0" localSheetId="50">'301'!$D$45</definedName>
    <definedName name="OSRRefD22_4x_0" localSheetId="51">'306'!$D$32</definedName>
    <definedName name="OSRRefD22_4x_0" localSheetId="56">'307'!$D$56:$D$57</definedName>
    <definedName name="OSRRefD22_4x_0" localSheetId="52">'308'!$D$85</definedName>
    <definedName name="OSRRefD22_4x_0" localSheetId="65">'309'!$D$36</definedName>
    <definedName name="OSRRefD22_4x_0" localSheetId="64">'310'!$D$55</definedName>
    <definedName name="OSRRefD22_4x_0" localSheetId="72">'310 &amp; 491'!$D$58</definedName>
    <definedName name="OSRRefD22_4x_0" localSheetId="53">'311'!$D$85</definedName>
    <definedName name="OSRRefD22_4x_0" localSheetId="66">'313'!$D$40</definedName>
    <definedName name="OSRRefD22_4x_0" localSheetId="58">'315'!$D$108</definedName>
    <definedName name="OSRRefD22_4x_0" localSheetId="61">'316'!$D$51</definedName>
    <definedName name="OSRRefD22_4x_0" localSheetId="63">'317'!$D$74</definedName>
    <definedName name="OSRRefD22_4x_0" localSheetId="67">'321'!$D$48</definedName>
    <definedName name="OSRRefD22_4x_0" localSheetId="68">'322'!$D$33:$D$34</definedName>
    <definedName name="OSRRefD22_4x_0" localSheetId="69">'325'!$D$41</definedName>
    <definedName name="OSRRefD22_4x_0" localSheetId="59">'326'!$D$72</definedName>
    <definedName name="OSRRefD22_4x_0" localSheetId="55">'331'!$D$108</definedName>
    <definedName name="OSRRefD22_4x_0" localSheetId="60">'332'!$D$53</definedName>
    <definedName name="OSRRefD22_4x_0" localSheetId="57">'333'!$D$110</definedName>
    <definedName name="OSRRefD22_4x_0" localSheetId="74">'405'!$D$42</definedName>
    <definedName name="OSRRefD22_4x_0" localSheetId="75">'406'!$D$28</definedName>
    <definedName name="OSRRefD22_4x_0" localSheetId="76">'411'!$D$40</definedName>
    <definedName name="OSRRefD22_4x_0" localSheetId="77">'412'!$D$29</definedName>
    <definedName name="OSRRefD22_4x_0" localSheetId="78">'413'!$D$32</definedName>
    <definedName name="OSRRefD22_4x_0" localSheetId="79">'414'!$D$30</definedName>
    <definedName name="OSRRefD22_4x_0" localSheetId="80">'415'!$D$43</definedName>
    <definedName name="OSRRefD22_4x_0" localSheetId="81">'418'!$D$39:$D$40</definedName>
    <definedName name="OSRRefD22_4x_0" localSheetId="85">'425'!$D$34</definedName>
    <definedName name="OSRRefD22_4x_0" localSheetId="88">'430'!$D$35</definedName>
    <definedName name="OSRRefD22_4x_0" localSheetId="89">'433'!$D$45</definedName>
    <definedName name="OSRRefD22_4x_0" localSheetId="91">'444'!$D$46</definedName>
    <definedName name="OSRRefD22_4x_0" localSheetId="92">'450'!$D$45</definedName>
    <definedName name="OSRRefD22_4x_0" localSheetId="73">'491'!$D$47</definedName>
    <definedName name="OSRRefD22_4x_0" localSheetId="87">'492'!$D$47</definedName>
    <definedName name="OSRRefD22_4x_0" localSheetId="94">'501'!$D$42:$D$43</definedName>
    <definedName name="OSRRefD22_4x_0" localSheetId="39">'Div 2'!$D$43</definedName>
    <definedName name="OSRRefD22_4x_0" localSheetId="47">'Div 3'!$D$159</definedName>
    <definedName name="OSRRefD22_4x_0" localSheetId="71">'Div 4'!$D$50</definedName>
    <definedName name="OSRRefD22_4x_0" localSheetId="93">'Div 5'!$D$42:$D$43</definedName>
    <definedName name="OSRRefD22_4x_0" localSheetId="62">'Div 6'!$D$74</definedName>
    <definedName name="OSRRefD22_4x_0" localSheetId="2">Summary!$D$183</definedName>
    <definedName name="OSRRefD22_5x_0" localSheetId="41">'201'!$D$40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'205'!$D$38:$D$40</definedName>
    <definedName name="OSRRefD22_5x_0" localSheetId="46">'206'!$D$40</definedName>
    <definedName name="OSRRefD22_5x_0" localSheetId="48">'300'!$D$154:$D$155</definedName>
    <definedName name="OSRRefD22_5x_0" localSheetId="49">'300 &amp; 317'!$D$176:$D$177</definedName>
    <definedName name="OSRRefD22_5x_0" localSheetId="50">'301'!$D$47:$D$48</definedName>
    <definedName name="OSRRefD22_5x_0" localSheetId="51">'306'!$D$34</definedName>
    <definedName name="OSRRefD22_5x_0" localSheetId="56">'307'!$D$59</definedName>
    <definedName name="OSRRefD22_5x_0" localSheetId="52">'308'!$D$87</definedName>
    <definedName name="OSRRefD22_5x_0" localSheetId="65">'309'!$D$38</definedName>
    <definedName name="OSRRefD22_5x_0" localSheetId="64">'310'!$D$57:$D$58</definedName>
    <definedName name="OSRRefD22_5x_0" localSheetId="72">'310 &amp; 491'!$D$60:$D$61</definedName>
    <definedName name="OSRRefD22_5x_0" localSheetId="53">'311'!$D$87</definedName>
    <definedName name="OSRRefD22_5x_0" localSheetId="66">'313'!$D$42</definedName>
    <definedName name="OSRRefD22_5x_0" localSheetId="58">'315'!$D$110</definedName>
    <definedName name="OSRRefD22_5x_0" localSheetId="61">'316'!$D$53</definedName>
    <definedName name="OSRRefD22_5x_0" localSheetId="63">'317'!$D$76:$D$77</definedName>
    <definedName name="OSRRefD22_5x_0" localSheetId="67">'321'!$D$50</definedName>
    <definedName name="OSRRefD22_5x_0" localSheetId="68">'322'!$D$36</definedName>
    <definedName name="OSRRefD22_5x_0" localSheetId="69">'325'!$D$43:$D$44</definedName>
    <definedName name="OSRRefD22_5x_0" localSheetId="59">'326'!$D$74</definedName>
    <definedName name="OSRRefD22_5x_0" localSheetId="55">'331'!$D$110:$D$111</definedName>
    <definedName name="OSRRefD22_5x_0" localSheetId="60">'332'!$D$55</definedName>
    <definedName name="OSRRefD22_5x_0" localSheetId="57">'333'!$D$112:$D$113</definedName>
    <definedName name="OSRRefD22_5x_0" localSheetId="74">'405'!$D$44:$D$45</definedName>
    <definedName name="OSRRefD22_5x_0" localSheetId="76">'411'!$D$42</definedName>
    <definedName name="OSRRefD22_5x_0" localSheetId="78">'413'!$D$34</definedName>
    <definedName name="OSRRefD22_5x_0" localSheetId="79">'414'!$D$32:$D$33</definedName>
    <definedName name="OSRRefD22_5x_0" localSheetId="80">'415'!$D$45:$D$46</definedName>
    <definedName name="OSRRefD22_5x_0" localSheetId="81">'418'!$D$42</definedName>
    <definedName name="OSRRefD22_5x_0" localSheetId="85">'425'!$D$36:$D$37</definedName>
    <definedName name="OSRRefD22_5x_0" localSheetId="88">'430'!$D$37:$D$38</definedName>
    <definedName name="OSRRefD22_5x_0" localSheetId="89">'433'!$D$47</definedName>
    <definedName name="OSRRefD22_5x_0" localSheetId="91">'444'!$D$48</definedName>
    <definedName name="OSRRefD22_5x_0" localSheetId="92">'450'!$D$47</definedName>
    <definedName name="OSRRefD22_5x_0" localSheetId="73">'491'!$D$49:$D$50</definedName>
    <definedName name="OSRRefD22_5x_0" localSheetId="87">'492'!$D$49</definedName>
    <definedName name="OSRRefD22_5x_0" localSheetId="94">'501'!$D$45</definedName>
    <definedName name="OSRRefD22_5x_0" localSheetId="39">'Div 2'!$D$45</definedName>
    <definedName name="OSRRefD22_5x_0" localSheetId="47">'Div 3'!$D$161:$D$162</definedName>
    <definedName name="OSRRefD22_5x_0" localSheetId="71">'Div 4'!$D$52:$D$53</definedName>
    <definedName name="OSRRefD22_5x_0" localSheetId="93">'Div 5'!$D$45</definedName>
    <definedName name="OSRRefD22_5x_0" localSheetId="62">'Div 6'!$D$76:$D$77</definedName>
    <definedName name="OSRRefD22_5x_0" localSheetId="2">Summary!$D$185:$D$186</definedName>
    <definedName name="OSRRefD22_6x_0" localSheetId="41">'201'!$D$42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'205'!$D$42</definedName>
    <definedName name="OSRRefD22_6x_0" localSheetId="46">'206'!$D$42</definedName>
    <definedName name="OSRRefD22_6x_0" localSheetId="48">'300'!$D$157:$D$158</definedName>
    <definedName name="OSRRefD22_6x_0" localSheetId="49">'300 &amp; 317'!$D$179:$D$180</definedName>
    <definedName name="OSRRefD22_6x_0" localSheetId="50">'301'!$D$50:$D$51</definedName>
    <definedName name="OSRRefD22_6x_0" localSheetId="56">'307'!$D$61</definedName>
    <definedName name="OSRRefD22_6x_0" localSheetId="52">'308'!$D$89:$D$90</definedName>
    <definedName name="OSRRefD22_6x_0" localSheetId="65">'309'!$D$40</definedName>
    <definedName name="OSRRefD22_6x_0" localSheetId="64">'310'!$D$60</definedName>
    <definedName name="OSRRefD22_6x_0" localSheetId="72">'310 &amp; 491'!$D$63</definedName>
    <definedName name="OSRRefD22_6x_0" localSheetId="53">'311'!$D$89:$D$90</definedName>
    <definedName name="OSRRefD22_6x_0" localSheetId="66">'313'!$D$44</definedName>
    <definedName name="OSRRefD22_6x_0" localSheetId="58">'315'!$D$112:$D$113</definedName>
    <definedName name="OSRRefD22_6x_0" localSheetId="61">'316'!$D$55:$D$56</definedName>
    <definedName name="OSRRefD22_6x_0" localSheetId="63">'317'!$D$79</definedName>
    <definedName name="OSRRefD22_6x_0" localSheetId="67">'321'!$D$52</definedName>
    <definedName name="OSRRefD22_6x_0" localSheetId="68">'322'!$D$38</definedName>
    <definedName name="OSRRefD22_6x_0" localSheetId="69">'325'!$D$46</definedName>
    <definedName name="OSRRefD22_6x_0" localSheetId="59">'326'!$D$76</definedName>
    <definedName name="OSRRefD22_6x_0" localSheetId="55">'331'!$D$113</definedName>
    <definedName name="OSRRefD22_6x_0" localSheetId="60">'332'!$D$57:$D$58</definedName>
    <definedName name="OSRRefD22_6x_0" localSheetId="57">'333'!$D$115</definedName>
    <definedName name="OSRRefD22_6x_0" localSheetId="74">'405'!$D$47</definedName>
    <definedName name="OSRRefD22_6x_0" localSheetId="76">'411'!$D$44</definedName>
    <definedName name="OSRRefD22_6x_0" localSheetId="80">'415'!$D$48</definedName>
    <definedName name="OSRRefD22_6x_0" localSheetId="81">'418'!$D$44</definedName>
    <definedName name="OSRRefD22_6x_0" localSheetId="85">'425'!$D$39</definedName>
    <definedName name="OSRRefD22_6x_0" localSheetId="88">'430'!$D$40</definedName>
    <definedName name="OSRRefD22_6x_0" localSheetId="89">'433'!$D$49</definedName>
    <definedName name="OSRRefD22_6x_0" localSheetId="91">'444'!$D$50</definedName>
    <definedName name="OSRRefD22_6x_0" localSheetId="92">'450'!$D$49</definedName>
    <definedName name="OSRRefD22_6x_0" localSheetId="73">'491'!$D$52</definedName>
    <definedName name="OSRRefD22_6x_0" localSheetId="87">'492'!$D$51</definedName>
    <definedName name="OSRRefD22_6x_0" localSheetId="94">'501'!$D$47</definedName>
    <definedName name="OSRRefD22_6x_0" localSheetId="39">'Div 2'!$D$47</definedName>
    <definedName name="OSRRefD22_6x_0" localSheetId="47">'Div 3'!$D$164:$D$165</definedName>
    <definedName name="OSRRefD22_6x_0" localSheetId="71">'Div 4'!$D$55</definedName>
    <definedName name="OSRRefD22_6x_0" localSheetId="93">'Div 5'!$D$47</definedName>
    <definedName name="OSRRefD22_6x_0" localSheetId="62">'Div 6'!$D$79</definedName>
    <definedName name="OSRRefD22_6x_0" localSheetId="2">Summary!$D$188:$D$189</definedName>
    <definedName name="OSRRefD22_7x_0" localSheetId="41">'201'!$D$44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'300'!$D$160</definedName>
    <definedName name="OSRRefD22_7x_0" localSheetId="49">'300 &amp; 317'!$D$182</definedName>
    <definedName name="OSRRefD22_7x_0" localSheetId="50">'301'!$D$53</definedName>
    <definedName name="OSRRefD22_7x_0" localSheetId="56">'307'!$D$63</definedName>
    <definedName name="OSRRefD22_7x_0" localSheetId="52">'308'!$D$92</definedName>
    <definedName name="OSRRefD22_7x_0" localSheetId="65">'309'!$D$42</definedName>
    <definedName name="OSRRefD22_7x_0" localSheetId="64">'310'!$D$62</definedName>
    <definedName name="OSRRefD22_7x_0" localSheetId="72">'310 &amp; 491'!$D$65</definedName>
    <definedName name="OSRRefD22_7x_0" localSheetId="53">'311'!$D$92</definedName>
    <definedName name="OSRRefD22_7x_0" localSheetId="66">'313'!$D$46</definedName>
    <definedName name="OSRRefD22_7x_0" localSheetId="58">'315'!$D$115</definedName>
    <definedName name="OSRRefD22_7x_0" localSheetId="61">'316'!$D$58</definedName>
    <definedName name="OSRRefD22_7x_0" localSheetId="63">'317'!$D$81</definedName>
    <definedName name="OSRRefD22_7x_0" localSheetId="67">'321'!$D$54:$D$55</definedName>
    <definedName name="OSRRefD22_7x_0" localSheetId="68">'322'!$D$40</definedName>
    <definedName name="OSRRefD22_7x_0" localSheetId="69">'325'!$D$48</definedName>
    <definedName name="OSRRefD22_7x_0" localSheetId="59">'326'!$D$78</definedName>
    <definedName name="OSRRefD22_7x_0" localSheetId="55">'331'!$D$115</definedName>
    <definedName name="OSRRefD22_7x_0" localSheetId="60">'332'!$D$60</definedName>
    <definedName name="OSRRefD22_7x_0" localSheetId="57">'333'!$D$117</definedName>
    <definedName name="OSRRefD22_7x_0" localSheetId="74">'405'!$D$49</definedName>
    <definedName name="OSRRefD22_7x_0" localSheetId="76">'411'!$D$46</definedName>
    <definedName name="OSRRefD22_7x_0" localSheetId="80">'415'!$D$50</definedName>
    <definedName name="OSRRefD22_7x_0" localSheetId="81">'418'!$D$46</definedName>
    <definedName name="OSRRefD22_7x_0" localSheetId="85">'425'!$D$41</definedName>
    <definedName name="OSRRefD22_7x_0" localSheetId="88">'430'!$D$42</definedName>
    <definedName name="OSRRefD22_7x_0" localSheetId="89">'433'!$D$51</definedName>
    <definedName name="OSRRefD22_7x_0" localSheetId="91">'444'!$D$52</definedName>
    <definedName name="OSRRefD22_7x_0" localSheetId="92">'450'!$D$51</definedName>
    <definedName name="OSRRefD22_7x_0" localSheetId="73">'491'!$D$54</definedName>
    <definedName name="OSRRefD22_7x_0" localSheetId="87">'492'!$D$53</definedName>
    <definedName name="OSRRefD22_7x_0" localSheetId="94">'501'!$D$49:$D$52</definedName>
    <definedName name="OSRRefD22_7x_0" localSheetId="39">'Div 2'!$D$49</definedName>
    <definedName name="OSRRefD22_7x_0" localSheetId="47">'Div 3'!$D$167</definedName>
    <definedName name="OSRRefD22_7x_0" localSheetId="71">'Div 4'!$D$57</definedName>
    <definedName name="OSRRefD22_7x_0" localSheetId="93">'Div 5'!$D$49:$D$52</definedName>
    <definedName name="OSRRefD22_7x_0" localSheetId="62">'Div 6'!$D$81</definedName>
    <definedName name="OSRRefD22_7x_0" localSheetId="2">Summary!$D$191</definedName>
    <definedName name="OSRRefD22_8x_0" localSheetId="41">'201'!$D$46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'300'!$D$162</definedName>
    <definedName name="OSRRefD22_8x_0" localSheetId="49">'300 &amp; 317'!$D$184</definedName>
    <definedName name="OSRRefD22_8x_0" localSheetId="50">'301'!$D$55</definedName>
    <definedName name="OSRRefD22_8x_0" localSheetId="56">'307'!$D$65:$D$66</definedName>
    <definedName name="OSRRefD22_8x_0" localSheetId="52">'308'!$D$94</definedName>
    <definedName name="OSRRefD22_8x_0" localSheetId="65">'309'!$D$44:$D$45</definedName>
    <definedName name="OSRRefD22_8x_0" localSheetId="64">'310'!$D$64</definedName>
    <definedName name="OSRRefD22_8x_0" localSheetId="72">'310 &amp; 491'!$D$67:$D$68</definedName>
    <definedName name="OSRRefD22_8x_0" localSheetId="53">'311'!$D$94</definedName>
    <definedName name="OSRRefD22_8x_0" localSheetId="58">'315'!$D$117:$D$118</definedName>
    <definedName name="OSRRefD22_8x_0" localSheetId="61">'316'!$D$60:$D$62</definedName>
    <definedName name="OSRRefD22_8x_0" localSheetId="63">'317'!$D$83:$D$85</definedName>
    <definedName name="OSRRefD22_8x_0" localSheetId="67">'321'!$D$57</definedName>
    <definedName name="OSRRefD22_8x_0" localSheetId="69">'325'!$D$50</definedName>
    <definedName name="OSRRefD22_8x_0" localSheetId="59">'326'!$D$80</definedName>
    <definedName name="OSRRefD22_8x_0" localSheetId="55">'331'!$D$117:$D$118</definedName>
    <definedName name="OSRRefD22_8x_0" localSheetId="60">'332'!$D$62:$D$64</definedName>
    <definedName name="OSRRefD22_8x_0" localSheetId="57">'333'!$D$119:$D$120</definedName>
    <definedName name="OSRRefD22_8x_0" localSheetId="74">'405'!$D$51</definedName>
    <definedName name="OSRRefD22_8x_0" localSheetId="76">'411'!$D$48</definedName>
    <definedName name="OSRRefD22_8x_0" localSheetId="80">'415'!$D$52</definedName>
    <definedName name="OSRRefD22_8x_0" localSheetId="81">'418'!$D$48:$D$49</definedName>
    <definedName name="OSRRefD22_8x_0" localSheetId="85">'425'!$D$43</definedName>
    <definedName name="OSRRefD22_8x_0" localSheetId="88">'430'!$D$44</definedName>
    <definedName name="OSRRefD22_8x_0" localSheetId="89">'433'!$D$53</definedName>
    <definedName name="OSRRefD22_8x_0" localSheetId="91">'444'!$D$54</definedName>
    <definedName name="OSRRefD22_8x_0" localSheetId="92">'450'!$D$53</definedName>
    <definedName name="OSRRefD22_8x_0" localSheetId="73">'491'!$D$56</definedName>
    <definedName name="OSRRefD22_8x_0" localSheetId="87">'492'!$D$55</definedName>
    <definedName name="OSRRefD22_8x_0" localSheetId="94">'501'!$D$54:$D$55</definedName>
    <definedName name="OSRRefD22_8x_0" localSheetId="39">'Div 2'!$D$51</definedName>
    <definedName name="OSRRefD22_8x_0" localSheetId="47">'Div 3'!$D$169</definedName>
    <definedName name="OSRRefD22_8x_0" localSheetId="71">'Div 4'!$D$59</definedName>
    <definedName name="OSRRefD22_8x_0" localSheetId="93">'Div 5'!$D$54:$D$55</definedName>
    <definedName name="OSRRefD22_8x_0" localSheetId="62">'Div 6'!$D$83:$D$85</definedName>
    <definedName name="OSRRefD22_8x_0" localSheetId="2">Summary!$D$193</definedName>
    <definedName name="OSRRefD22_9x_0" localSheetId="41">'201'!$D$48:$D$50</definedName>
    <definedName name="OSRRefD22_9x_0" localSheetId="42">'202'!$D$50:$D$51</definedName>
    <definedName name="OSRRefD22_9x_0" localSheetId="43">'203'!$D$53:$D$54</definedName>
    <definedName name="OSRRefD22_9x_0" localSheetId="44">'204'!$D$52</definedName>
    <definedName name="OSRRefD22_9x_0" localSheetId="48">'300'!$D$164</definedName>
    <definedName name="OSRRefD22_9x_0" localSheetId="49">'300 &amp; 317'!$D$186</definedName>
    <definedName name="OSRRefD22_9x_0" localSheetId="50">'301'!$D$57</definedName>
    <definedName name="OSRRefD22_9x_0" localSheetId="56">'307'!$D$68:$D$69</definedName>
    <definedName name="OSRRefD22_9x_0" localSheetId="52">'308'!$D$96:$D$98</definedName>
    <definedName name="OSRRefD22_9x_0" localSheetId="65">'309'!$D$47:$D$48</definedName>
    <definedName name="OSRRefD22_9x_0" localSheetId="64">'310'!$D$66</definedName>
    <definedName name="OSRRefD22_9x_0" localSheetId="72">'310 &amp; 491'!$D$70</definedName>
    <definedName name="OSRRefD22_9x_0" localSheetId="53">'311'!$D$96:$D$98</definedName>
    <definedName name="OSRRefD22_9x_0" localSheetId="58">'315'!$D$120</definedName>
    <definedName name="OSRRefD22_9x_0" localSheetId="61">'316'!$D$64</definedName>
    <definedName name="OSRRefD22_9x_0" localSheetId="63">'317'!$D$87</definedName>
    <definedName name="OSRRefD22_9x_0" localSheetId="67">'321'!$D$59:$D$60</definedName>
    <definedName name="OSRRefD22_9x_0" localSheetId="69">'325'!$D$52</definedName>
    <definedName name="OSRRefD22_9x_0" localSheetId="59">'326'!$D$82</definedName>
    <definedName name="OSRRefD22_9x_0" localSheetId="55">'331'!$D$120</definedName>
    <definedName name="OSRRefD22_9x_0" localSheetId="60">'332'!$D$66</definedName>
    <definedName name="OSRRefD22_9x_0" localSheetId="57">'333'!$D$122</definedName>
    <definedName name="OSRRefD22_9x_0" localSheetId="74">'405'!$D$53</definedName>
    <definedName name="OSRRefD22_9x_0" localSheetId="76">'411'!$D$50:$D$52</definedName>
    <definedName name="OSRRefD22_9x_0" localSheetId="80">'415'!$D$54</definedName>
    <definedName name="OSRRefD22_9x_0" localSheetId="81">'418'!$D$51</definedName>
    <definedName name="OSRRefD22_9x_0" localSheetId="89">'433'!$D$55</definedName>
    <definedName name="OSRRefD22_9x_0" localSheetId="91">'444'!$D$56</definedName>
    <definedName name="OSRRefD22_9x_0" localSheetId="92">'450'!$D$55</definedName>
    <definedName name="OSRRefD22_9x_0" localSheetId="73">'491'!$D$58</definedName>
    <definedName name="OSRRefD22_9x_0" localSheetId="87">'492'!$D$57</definedName>
    <definedName name="OSRRefD22_9x_0" localSheetId="94">'501'!$D$57</definedName>
    <definedName name="OSRRefD22_9x_0" localSheetId="39">'Div 2'!$D$53:$D$54</definedName>
    <definedName name="OSRRefD22_9x_0" localSheetId="47">'Div 3'!$D$171</definedName>
    <definedName name="OSRRefD22_9x_0" localSheetId="71">'Div 4'!$D$61</definedName>
    <definedName name="OSRRefD22_9x_0" localSheetId="93">'Div 5'!$D$57</definedName>
    <definedName name="OSRRefD22_9x_0" localSheetId="62">'Div 6'!$D$87</definedName>
    <definedName name="OSRRefD22_9x_0" localSheetId="2">Summary!$D$195</definedName>
    <definedName name="OSRRefD22x_0" localSheetId="40">'200'!$D$20,'200'!$D$22,'200'!$D$24,'200'!$D$26</definedName>
    <definedName name="OSRRefD22x_0" localSheetId="41">'201'!$D$20:$D$27,'201'!$D$29:$D$32,'201'!$D$34,'201'!$D$36,'201'!$D$38,'201'!$D$40,'201'!$D$42,'201'!$D$44,'201'!$D$46,'201'!$D$48:$D$50,'201'!$D$52:$D$53,'201'!$D$55,'201'!$D$57:$D$58,'201'!$D$60,'201'!$D$62</definedName>
    <definedName name="OSRRefD22x_0" localSheetId="42">'202'!$D$20:$D$27,'202'!$D$29:$D$31,'202'!$D$33,'202'!$D$35,'202'!$D$37,'202'!$D$39:$D$40,'202'!$D$42,'202'!$D$44:$D$46,'202'!$D$48,'202'!$D$50:$D$51,'202'!$D$53,'202'!$D$55,'202'!$D$57</definedName>
    <definedName name="OSRRefD22x_0" localSheetId="43">'203'!$D$20:$D$29,'203'!$D$31:$D$35,'203'!$D$37,'203'!$D$39,'203'!$D$41,'203'!$D$43,'203'!$D$45,'203'!$D$47:$D$48,'203'!$D$50:$D$51,'203'!$D$53:$D$54,'203'!$D$56:$D$59,'203'!$D$61,'203'!$D$63,'203'!$D$65</definedName>
    <definedName name="OSRRefD22x_0" localSheetId="44">'204'!$D$20:$D$28,'204'!$D$30:$D$32,'204'!$D$34,'204'!$D$36,'204'!$D$38,'204'!$D$40:$D$43,'204'!$D$45,'204'!$D$47:$D$48,'204'!$D$50,'204'!$D$52</definedName>
    <definedName name="OSRRefD22x_0" localSheetId="45">'205'!$D$20:$D$27,'205'!$D$29,'205'!$D$31,'205'!$D$33,'205'!$D$35:$D$36,'205'!$D$38:$D$40,'205'!$D$42</definedName>
    <definedName name="OSRRefD22x_0" localSheetId="46">'206'!$D$20:$D$27,'206'!$D$29:$D$32,'206'!$D$34,'206'!$D$36,'206'!$D$38,'206'!$D$40,'206'!$D$42</definedName>
    <definedName name="OSRRefD22x_0" localSheetId="48">'300'!$D$128:$D$137,'300'!$D$139:$D$145,'300'!$D$147,'300'!$D$149:$D$150,'300'!$D$152,'300'!$D$154:$D$155,'300'!$D$157:$D$158,'300'!$D$160,'300'!$D$162,'300'!$D$164,'300'!$D$166:$D$167,'300'!$D$169,'300'!$D$171,'300'!$D$173:$D$174,'300'!$D$176,'300'!$D$178,'300'!$D$180:$D$183,'300'!$D$185:$D$187,'300'!$D$189:$D$192,'300'!$D$194:$D$195,'300'!$D$197:$D$203,'300'!$D$205:$D$206,'300'!$D$208,'300'!$D$210:$D$212,'300'!$D$214</definedName>
    <definedName name="OSRRefD22x_0" localSheetId="49">'300 &amp; 317'!$D$150:$D$159,'300 &amp; 317'!$D$161:$D$167,'300 &amp; 317'!$D$169,'300 &amp; 317'!$D$171:$D$172,'300 &amp; 317'!$D$174,'300 &amp; 317'!$D$176:$D$177,'300 &amp; 317'!$D$179:$D$180,'300 &amp; 317'!$D$182,'300 &amp; 317'!$D$184,'300 &amp; 317'!$D$186,'300 &amp; 317'!$D$188:$D$189,'300 &amp; 317'!$D$191,'300 &amp; 317'!$D$193,'300 &amp; 317'!$D$195:$D$196,'300 &amp; 317'!$D$198,'300 &amp; 317'!$D$200,'300 &amp; 317'!$D$202:$D$205,'300 &amp; 317'!$D$207:$D$209,'300 &amp; 317'!$D$211:$D$214,'300 &amp; 317'!$D$216:$D$217,'300 &amp; 317'!$D$219:$D$225,'300 &amp; 317'!$D$227:$D$228,'300 &amp; 317'!$D$230,'300 &amp; 317'!$D$232:$D$234,'300 &amp; 317'!$D$236</definedName>
    <definedName name="OSRRefD22x_0" localSheetId="50">'301'!$D$21:$D$30,'301'!$D$32:$D$38,'301'!$D$40,'301'!$D$42:$D$43,'301'!$D$45,'301'!$D$47:$D$48,'301'!$D$50:$D$51,'301'!$D$53,'301'!$D$55,'301'!$D$57,'301'!$D$59,'301'!$D$61,'301'!$D$63,'301'!$D$65,'301'!$D$67,'301'!$D$69:$D$72,'301'!$D$74:$D$76,'301'!$D$78,'301'!$D$80:$D$85,'301'!$D$87,'301'!$D$89,'301'!$D$91:$D$92,'301'!$D$94</definedName>
    <definedName name="OSRRefD22x_0" localSheetId="51">'306'!$D$20:$D$23,'306'!$D$25:$D$26,'306'!$D$28,'306'!$D$30,'306'!$D$32,'306'!$D$34</definedName>
    <definedName name="OSRRefD22x_0" localSheetId="56">'307'!$D$43:$D$45,'307'!$D$47:$D$50,'307'!$D$52,'307'!$D$54,'307'!$D$56:$D$57,'307'!$D$59,'307'!$D$61,'307'!$D$63,'307'!$D$65:$D$66,'307'!$D$68:$D$69,'307'!$D$71,'307'!$D$73:$D$76,'307'!$D$78,'307'!$D$80</definedName>
    <definedName name="OSRRefD22x_0" localSheetId="52">'308'!$D$62:$D$70,'308'!$D$72:$D$78,'308'!$D$80,'308'!$D$82:$D$83,'308'!$D$85,'308'!$D$87,'308'!$D$89:$D$90,'308'!$D$92,'308'!$D$94,'308'!$D$96:$D$98,'308'!$D$100:$D$101,'308'!$D$103:$D$104,'308'!$D$106:$D$107,'308'!$D$109</definedName>
    <definedName name="OSRRefD22x_0" localSheetId="65">'309'!$D$26:$D$27,'309'!$D$29:$D$30,'309'!$D$32,'309'!$D$34,'309'!$D$36,'309'!$D$38,'309'!$D$40,'309'!$D$42,'309'!$D$44:$D$45,'309'!$D$47:$D$48,'309'!$D$50:$D$51,'309'!$D$53,'309'!$D$55</definedName>
    <definedName name="OSRRefD22x_0" localSheetId="64">'310'!$D$34:$D$42,'310'!$D$44:$D$49,'310'!$D$51,'310'!$D$53,'310'!$D$55,'310'!$D$57:$D$58,'310'!$D$60,'310'!$D$62,'310'!$D$64,'310'!$D$66,'310'!$D$68,'310'!$D$70:$D$71,'310'!$D$73,'310'!$D$75:$D$78,'310'!$D$80:$D$85,'310'!$D$87,'310'!$D$89,'310'!$D$91</definedName>
    <definedName name="OSRRefD22x_0" localSheetId="72">'310 &amp; 491'!$D$36:$D$44,'310 &amp; 491'!$D$46:$D$52,'310 &amp; 491'!$D$54,'310 &amp; 491'!$D$56,'310 &amp; 491'!$D$58,'310 &amp; 491'!$D$60:$D$61,'310 &amp; 491'!$D$63,'310 &amp; 491'!$D$65,'310 &amp; 491'!$D$67:$D$68,'310 &amp; 491'!$D$70,'310 &amp; 491'!$D$72,'310 &amp; 491'!$D$74,'310 &amp; 491'!$D$76,'310 &amp; 491'!$D$78:$D$80,'310 &amp; 491'!$D$82,'310 &amp; 491'!$D$84:$D$87,'310 &amp; 491'!$D$89,'310 &amp; 491'!$D$91:$D$99,'310 &amp; 491'!$D$101,'310 &amp; 491'!$D$103,'310 &amp; 491'!$D$105:$D$106,'310 &amp; 491'!$D$108</definedName>
    <definedName name="OSRRefD22x_0" localSheetId="53">'311'!$D$62:$D$70,'311'!$D$72:$D$78,'311'!$D$80,'311'!$D$82:$D$83,'311'!$D$85,'311'!$D$87,'311'!$D$89:$D$90,'311'!$D$92,'311'!$D$94,'311'!$D$96:$D$98,'311'!$D$100:$D$101,'311'!$D$103:$D$104,'311'!$D$106:$D$107,'311'!$D$109</definedName>
    <definedName name="OSRRefD22x_0" localSheetId="66">'313'!$D$25:$D$32,'313'!$D$34,'313'!$D$36,'313'!$D$38,'313'!$D$40,'313'!$D$42,'313'!$D$44,'313'!$D$46</definedName>
    <definedName name="OSRRefD22x_0" localSheetId="58">'315'!$D$87:$D$94,'315'!$D$96:$D$101,'315'!$D$103,'315'!$D$105:$D$106,'315'!$D$108,'315'!$D$110,'315'!$D$112:$D$113,'315'!$D$115,'315'!$D$117:$D$118,'315'!$D$120,'315'!$D$122:$D$123,'315'!$D$125:$D$126,'315'!$D$128:$D$129,'315'!$D$131:$D$135,'315'!$D$137,'315'!$D$139,'315'!$D$141</definedName>
    <definedName name="OSRRefD22x_0" localSheetId="61">'316'!$D$34:$D$41,'316'!$D$43:$D$45,'316'!$D$47,'316'!$D$49,'316'!$D$51,'316'!$D$53,'316'!$D$55:$D$56,'316'!$D$58,'316'!$D$60:$D$62,'316'!$D$64,'316'!$D$66:$D$70,'316'!$D$72,'316'!$D$74</definedName>
    <definedName name="OSRRefD22x_0" localSheetId="63">'317'!$D$54:$D$62,'317'!$D$64:$D$68,'317'!$D$70,'317'!$D$72,'317'!$D$74,'317'!$D$76:$D$77,'317'!$D$79,'317'!$D$81,'317'!$D$83:$D$85,'317'!$D$87,'317'!$D$89</definedName>
    <definedName name="OSRRefD22x_0" localSheetId="67">'321'!$D$27:$D$35,'321'!$D$37:$D$42,'321'!$D$44,'321'!$D$46,'321'!$D$48,'321'!$D$50,'321'!$D$52,'321'!$D$54:$D$55,'321'!$D$57,'321'!$D$59:$D$60,'321'!$D$62:$D$66,'321'!$D$68,'321'!$D$70,'321'!$D$72</definedName>
    <definedName name="OSRRefD22x_0" localSheetId="68">'322'!$D$21:$D$25,'322'!$D$27,'322'!$D$29,'322'!$D$31,'322'!$D$33:$D$34,'322'!$D$36,'322'!$D$38,'322'!$D$40</definedName>
    <definedName name="OSRRefD22x_0" localSheetId="69">'325'!$D$24:$D$31,'325'!$D$33:$D$35,'325'!$D$37,'325'!$D$39,'325'!$D$41,'325'!$D$43:$D$44,'325'!$D$46,'325'!$D$48,'325'!$D$50,'325'!$D$52,'325'!$D$54:$D$55,'325'!$D$57:$D$60,'325'!$D$62:$D$66,'325'!$D$68,'325'!$D$70,'325'!$D$72</definedName>
    <definedName name="OSRRefD22x_0" localSheetId="59">'326'!$D$52:$D$59,'326'!$D$61:$D$66,'326'!$D$68,'326'!$D$70,'326'!$D$72,'326'!$D$74,'326'!$D$76,'326'!$D$78,'326'!$D$80,'326'!$D$82,'326'!$D$84,'326'!$D$86:$D$88,'326'!$D$90:$D$92,'326'!$D$94:$D$95,'326'!$D$97:$D$100,'326'!$D$102,'326'!$D$104,'326'!$D$106</definedName>
    <definedName name="OSRRefD22x_0" localSheetId="70">'327'!$D$24,'327'!$D$26</definedName>
    <definedName name="OSRRefD22x_0" localSheetId="55">'331'!$D$88:$D$95,'331'!$D$97:$D$102,'331'!$D$104,'331'!$D$106,'331'!$D$108,'331'!$D$110:$D$111,'331'!$D$113,'331'!$D$115,'331'!$D$117:$D$118,'331'!$D$120,'331'!$D$122,'331'!$D$124:$D$125,'331'!$D$127,'331'!$D$129,'331'!$D$131:$D$133,'331'!$D$135:$D$136,'331'!$D$138:$D$140,'331'!$D$142:$D$143,'331'!$D$145:$D$150,'331'!$D$152,'331'!$D$154,'331'!$D$156,'331'!$D$158</definedName>
    <definedName name="OSRRefD22x_0" localSheetId="60">'332'!$D$36:$D$43,'332'!$D$45:$D$47,'332'!$D$49,'332'!$D$51,'332'!$D$53,'332'!$D$55,'332'!$D$57:$D$58,'332'!$D$60,'332'!$D$62:$D$64,'332'!$D$66,'332'!$D$68:$D$72,'332'!$D$74,'332'!$D$76</definedName>
    <definedName name="OSRRefD22x_0" localSheetId="57">'333'!$D$90:$D$97,'333'!$D$99:$D$104,'333'!$D$106,'333'!$D$108,'333'!$D$110,'333'!$D$112:$D$113,'333'!$D$115,'333'!$D$117,'333'!$D$119:$D$120,'333'!$D$122,'333'!$D$124,'333'!$D$126:$D$127,'333'!$D$129,'333'!$D$131,'333'!$D$133:$D$135,'333'!$D$137:$D$138,'333'!$D$140:$D$143,'333'!$D$145:$D$146,'333'!$D$148:$D$153,'333'!$D$155,'333'!$D$157,'333'!$D$159,'333'!$D$161</definedName>
    <definedName name="OSRRefD22x_0" localSheetId="74">'405'!$D$24:$D$31,'405'!$D$33:$D$36,'405'!$D$38,'405'!$D$40,'405'!$D$42,'405'!$D$44:$D$45,'405'!$D$47,'405'!$D$49,'405'!$D$51,'405'!$D$53,'405'!$D$55:$D$56,'405'!$D$58:$D$61,'405'!$D$63,'405'!$D$65:$D$72,'405'!$D$74,'405'!$D$76,'405'!$D$78</definedName>
    <definedName name="OSRRefD22x_0" localSheetId="75">'406'!$D$20,'406'!$D$22,'406'!$D$24,'406'!$D$26,'406'!$D$28</definedName>
    <definedName name="OSRRefD22x_0" localSheetId="76">'411'!$D$20:$D$27,'411'!$D$29:$D$33,'411'!$D$35,'411'!$D$37:$D$38,'411'!$D$40,'411'!$D$42,'411'!$D$44,'411'!$D$46,'411'!$D$48,'411'!$D$50:$D$52,'411'!$D$54:$D$56,'411'!$D$58:$D$59,'411'!$D$61,'411'!$D$63:$D$64,'411'!$D$66</definedName>
    <definedName name="OSRRefD22x_0" localSheetId="77">'412'!$D$20,'412'!$D$22,'412'!$D$24:$D$25,'412'!$D$27,'412'!$D$29</definedName>
    <definedName name="OSRRefD22x_0" localSheetId="78">'413'!$D$20:$D$24,'413'!$D$26,'413'!$D$28,'413'!$D$30,'413'!$D$32,'413'!$D$34</definedName>
    <definedName name="OSRRefD22x_0" localSheetId="79">'414'!$D$22,'414'!$D$24,'414'!$D$26,'414'!$D$28,'414'!$D$30,'414'!$D$32:$D$33</definedName>
    <definedName name="OSRRefD22x_0" localSheetId="80">'415'!$D$24:$D$31,'415'!$D$33:$D$37,'415'!$D$39,'415'!$D$41,'415'!$D$43,'415'!$D$45:$D$46,'415'!$D$48,'415'!$D$50,'415'!$D$52,'415'!$D$54,'415'!$D$56,'415'!$D$58:$D$59,'415'!$D$61:$D$64,'415'!$D$66,'415'!$D$68:$D$73,'415'!$D$75,'415'!$D$77,'415'!$D$79</definedName>
    <definedName name="OSRRefD22x_0" localSheetId="81">'418'!$D$21:$D$28,'418'!$D$30:$D$33,'418'!$D$35,'418'!$D$37,'418'!$D$39:$D$40,'418'!$D$42,'418'!$D$44,'418'!$D$46,'418'!$D$48:$D$49,'418'!$D$51,'418'!$D$53,'418'!$D$55:$D$59,'418'!$D$61,'418'!$D$63</definedName>
    <definedName name="OSRRefD22x_0" localSheetId="82">'420'!$D$21</definedName>
    <definedName name="OSRRefD22x_0" localSheetId="83">'423'!$D$20:$D$21,'423'!$D$23,'423'!$D$25,'423'!$D$27</definedName>
    <definedName name="OSRRefD22x_0" localSheetId="84">'424'!$D$20,'424'!$D$22,'424'!$D$24,'424'!$D$26</definedName>
    <definedName name="OSRRefD22x_0" localSheetId="85">'425'!$D$22:$D$26,'425'!$D$28,'425'!$D$30,'425'!$D$32,'425'!$D$34,'425'!$D$36:$D$37,'425'!$D$39,'425'!$D$41,'425'!$D$43</definedName>
    <definedName name="OSRRefD22x_0" localSheetId="88">'430'!$D$20:$D$27,'430'!$D$29,'430'!$D$31,'430'!$D$33,'430'!$D$35,'430'!$D$37:$D$38,'430'!$D$40,'430'!$D$42,'430'!$D$44</definedName>
    <definedName name="OSRRefD22x_0" localSheetId="89">'433'!$D$25:$D$33,'433'!$D$35:$D$39,'433'!$D$41,'433'!$D$43,'433'!$D$45,'433'!$D$47,'433'!$D$49,'433'!$D$51,'433'!$D$53,'433'!$D$55,'433'!$D$57,'433'!$D$59:$D$60,'433'!$D$62:$D$64,'433'!$D$66:$D$73,'433'!$D$75</definedName>
    <definedName name="OSRRefD22x_0" localSheetId="90">'435'!$D$20,'435'!$D$22</definedName>
    <definedName name="OSRRefD22x_0" localSheetId="91">'444'!$D$25:$D$33,'444'!$D$35:$D$40,'444'!$D$42,'444'!$D$44,'444'!$D$46,'444'!$D$48,'444'!$D$50,'444'!$D$52,'444'!$D$54,'444'!$D$56,'444'!$D$58,'444'!$D$60:$D$61,'444'!$D$63:$D$66,'444'!$D$68,'444'!$D$70:$D$77,'444'!$D$79,'444'!$D$81</definedName>
    <definedName name="OSRRefD22x_0" localSheetId="92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3">'491'!$D$27:$D$34,'491'!$D$36:$D$41,'491'!$D$43,'491'!$D$45,'491'!$D$47,'491'!$D$49:$D$50,'491'!$D$52,'491'!$D$54,'491'!$D$56,'491'!$D$58,'491'!$D$60,'491'!$D$62,'491'!$D$64,'491'!$D$66:$D$68,'491'!$D$70,'491'!$D$72:$D$75,'491'!$D$77,'491'!$D$79:$D$87,'491'!$D$89,'491'!$D$91,'491'!$D$93:$D$94,'491'!$D$96</definedName>
    <definedName name="OSRRefD22x_0" localSheetId="87">'492'!$D$25:$D$33,'492'!$D$35:$D$41,'492'!$D$43,'492'!$D$45,'492'!$D$47,'492'!$D$49,'492'!$D$51,'492'!$D$53,'492'!$D$55,'492'!$D$57,'492'!$D$59,'492'!$D$61,'492'!$D$63:$D$65,'492'!$D$67:$D$70,'492'!$D$72,'492'!$D$74:$D$81,'492'!$D$83,'492'!$D$85,'492'!$D$87:$D$88</definedName>
    <definedName name="OSRRefD22x_0" localSheetId="94">'501'!$D$21:$D$29,'501'!$D$31:$D$36,'501'!$D$38,'501'!$D$40,'501'!$D$42:$D$43,'501'!$D$45,'501'!$D$47,'501'!$D$49:$D$52,'501'!$D$54:$D$55,'501'!$D$57,'501'!$D$59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2'!$D$71:$D$72,'Div 2'!$D$74:$D$78,'Div 2'!$D$80:$D$81,'Div 2'!$D$83,'Div 2'!$D$85:$D$86</definedName>
    <definedName name="OSRRefD22x_0" localSheetId="47">'Div 3'!$D$135:$D$144,'Div 3'!$D$146:$D$152,'Div 3'!$D$154,'Div 3'!$D$156:$D$157,'Div 3'!$D$159,'Div 3'!$D$161:$D$162,'Div 3'!$D$164:$D$165,'Div 3'!$D$167,'Div 3'!$D$169,'Div 3'!$D$171,'Div 3'!$D$173:$D$174,'Div 3'!$D$176,'Div 3'!$D$178,'Div 3'!$D$180,'Div 3'!$D$182:$D$183,'Div 3'!$D$185,'Div 3'!$D$187,'Div 3'!$D$189:$D$192,'Div 3'!$D$194:$D$196,'Div 3'!$D$198:$D$202,'Div 3'!$D$204:$D$205,'Div 3'!$D$207:$D$213,'Div 3'!$D$215:$D$216,'Div 3'!$D$218,'Div 3'!$D$220:$D$222,'Div 3'!$D$224</definedName>
    <definedName name="OSRRefD22x_0" localSheetId="71">'Div 4'!$D$28:$D$36,'Div 4'!$D$38:$D$44,'Div 4'!$D$46,'Div 4'!$D$48,'Div 4'!$D$50,'Div 4'!$D$52:$D$53,'Div 4'!$D$55,'Div 4'!$D$57,'Div 4'!$D$59,'Div 4'!$D$61,'Div 4'!$D$63,'Div 4'!$D$65,'Div 4'!$D$67,'Div 4'!$D$69,'Div 4'!$D$71,'Div 4'!$D$73:$D$75,'Div 4'!$D$77,'Div 4'!$D$79:$D$82,'Div 4'!$D$84:$D$85,'Div 4'!$D$87:$D$95,'Div 4'!$D$97,'Div 4'!$D$99,'Div 4'!$D$101:$D$102,'Div 4'!$D$104</definedName>
    <definedName name="OSRRefD22x_0" localSheetId="93">'Div 5'!$D$21:$D$29,'Div 5'!$D$31:$D$36,'Div 5'!$D$38,'Div 5'!$D$40,'Div 5'!$D$42:$D$43,'Div 5'!$D$45,'Div 5'!$D$47,'Div 5'!$D$49:$D$52,'Div 5'!$D$54:$D$55,'Div 5'!$D$57,'Div 5'!$D$59</definedName>
    <definedName name="OSRRefD22x_0" localSheetId="62">'Div 6'!$D$54:$D$62,'Div 6'!$D$64:$D$68,'Div 6'!$D$70,'Div 6'!$D$72,'Div 6'!$D$74,'Div 6'!$D$76:$D$77,'Div 6'!$D$79,'Div 6'!$D$81,'Div 6'!$D$83:$D$85,'Div 6'!$D$87,'Div 6'!$D$89</definedName>
    <definedName name="OSRRefD22x_0" localSheetId="2">Summary!$D$159:$D$168,Summary!$D$170:$D$176,Summary!$D$178,Summary!$D$180:$D$181,Summary!$D$183,Summary!$D$185:$D$186,Summary!$D$188:$D$189,Summary!$D$191,Summary!$D$193,Summary!$D$195,Summary!$D$197:$D$198,Summary!$D$200,Summary!$D$202,Summary!$D$204,Summary!$D$206:$D$207,Summary!$D$209,Summary!$D$211,Summary!$D$213,Summary!$D$215:$D$218,Summary!$D$220:$D$222,Summary!$D$224:$D$228,Summary!$D$230:$D$231,Summary!$D$233:$D$241,Summary!$D$243:$D$244,Summary!$D$246,Summary!$D$248:$D$250,Summary!$D$252</definedName>
    <definedName name="OSRRefD25x_0" localSheetId="48">'300'!$D$217:$D$220</definedName>
    <definedName name="OSRRefD25x_0" localSheetId="49">'300 &amp; 317'!$D$239:$D$244</definedName>
    <definedName name="OSRRefD25x_0" localSheetId="50">'301'!$D$97</definedName>
    <definedName name="OSRRefD25x_0" localSheetId="52">'308'!$D$112:$D$114</definedName>
    <definedName name="OSRRefD25x_0" localSheetId="72">'310 &amp; 491'!$D$111:$D$113</definedName>
    <definedName name="OSRRefD25x_0" localSheetId="53">'311'!$D$112:$D$114</definedName>
    <definedName name="OSRRefD25x_0" localSheetId="58">'315'!$D$144:$D$145</definedName>
    <definedName name="OSRRefD25x_0" localSheetId="61">'316'!$D$77</definedName>
    <definedName name="OSRRefD25x_0" localSheetId="63">'317'!$D$92:$D$94</definedName>
    <definedName name="OSRRefD25x_0" localSheetId="55">'331'!$D$161:$D$162</definedName>
    <definedName name="OSRRefD25x_0" localSheetId="60">'332'!$D$79:$D$80</definedName>
    <definedName name="OSRRefD25x_0" localSheetId="57">'333'!$D$164:$D$165</definedName>
    <definedName name="OSRRefD25x_0" localSheetId="74">'405'!$D$81</definedName>
    <definedName name="OSRRefD25x_0" localSheetId="76">'411'!$D$69:$D$70</definedName>
    <definedName name="OSRRefD25x_0" localSheetId="80">'415'!$D$82</definedName>
    <definedName name="OSRRefD25x_0" localSheetId="81">'418'!$D$66</definedName>
    <definedName name="OSRRefD25x_0" localSheetId="83">'423'!$D$30</definedName>
    <definedName name="OSRRefD25x_0" localSheetId="86">'455'!$D$21:$D$22</definedName>
    <definedName name="OSRRefD25x_0" localSheetId="73">'491'!$D$99:$D$101</definedName>
    <definedName name="OSRRefD25x_0" localSheetId="94">'501'!$D$62</definedName>
    <definedName name="OSRRefD25x_0" localSheetId="47">'Div 3'!$D$227:$D$230</definedName>
    <definedName name="OSRRefD25x_0" localSheetId="71">'Div 4'!$D$107:$D$109</definedName>
    <definedName name="OSRRefD25x_0" localSheetId="93">'Div 5'!$D$62</definedName>
    <definedName name="OSRRefD25x_0" localSheetId="62">'Div 6'!$D$92:$D$94</definedName>
    <definedName name="OSRRefD25x_0" localSheetId="2">Summary!$D$255:$D$262</definedName>
    <definedName name="OSRRefH13x_0" localSheetId="48">'300'!$H$13:$H$79</definedName>
    <definedName name="OSRRefH13x_0" localSheetId="49">'300 &amp; 317'!$H$13:$H$93</definedName>
    <definedName name="OSRRefH13x_0" localSheetId="56">'307'!$H$13:$H$25</definedName>
    <definedName name="OSRRefH13x_0" localSheetId="52">'308'!$H$13:$H$37</definedName>
    <definedName name="OSRRefH13x_0" localSheetId="65">'309'!$H$13:$H$16</definedName>
    <definedName name="OSRRefH13x_0" localSheetId="64">'310'!$H$13:$H$23</definedName>
    <definedName name="OSRRefH13x_0" localSheetId="72">'310 &amp; 491'!$H$13:$H$25</definedName>
    <definedName name="OSRRefH13x_0" localSheetId="53">'311'!$H$13:$H$37</definedName>
    <definedName name="OSRRefH13x_0" localSheetId="66">'313'!$H$13:$H$16</definedName>
    <definedName name="OSRRefH13x_0" localSheetId="58">'315'!$H$13:$H$54</definedName>
    <definedName name="OSRRefH13x_0" localSheetId="61">'316'!$H$13:$H$25</definedName>
    <definedName name="OSRRefH13x_0" localSheetId="63">'317'!$H$13:$H$33</definedName>
    <definedName name="OSRRefH13x_0" localSheetId="67">'321'!$H$13:$H$16</definedName>
    <definedName name="OSRRefH13x_0" localSheetId="54">'324'!$H$13:$H$16</definedName>
    <definedName name="OSRRefH13x_0" localSheetId="69">'325'!$H$13:$H$14</definedName>
    <definedName name="OSRRefH13x_0" localSheetId="59">'326'!$H$13:$H$36</definedName>
    <definedName name="OSRRefH13x_0" localSheetId="70">'327'!$H$13:$H$14</definedName>
    <definedName name="OSRRefH13x_0" localSheetId="55">'331'!$H$13:$H$54</definedName>
    <definedName name="OSRRefH13x_0" localSheetId="60">'332'!$H$13:$H$25</definedName>
    <definedName name="OSRRefH13x_0" localSheetId="57">'333'!$H$13:$H$56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2">'420'!$H$13</definedName>
    <definedName name="OSRRefH13x_0" localSheetId="85">'425'!$H$13</definedName>
    <definedName name="OSRRefH13x_0" localSheetId="89">'433'!$H$13:$H$15</definedName>
    <definedName name="OSRRefH13x_0" localSheetId="91">'444'!$H$13:$H$15</definedName>
    <definedName name="OSRRefH13x_0" localSheetId="92">'450'!$H$13:$H$15</definedName>
    <definedName name="OSRRefH13x_0" localSheetId="73">'491'!$H$13:$H$17</definedName>
    <definedName name="OSRRefH13x_0" localSheetId="87">'492'!$H$13:$H$15</definedName>
    <definedName name="OSRRefH13x_0" localSheetId="94">'501'!$H$13</definedName>
    <definedName name="OSRRefH13x_0" localSheetId="47">'Div 3'!$H$13:$H$84</definedName>
    <definedName name="OSRRefH13x_0" localSheetId="71">'Div 4'!$H$13:$H$18</definedName>
    <definedName name="OSRRefH13x_0" localSheetId="93">'Div 5'!$H$13</definedName>
    <definedName name="OSRRefH13x_0" localSheetId="62">'Div 6'!$H$13:$H$33</definedName>
    <definedName name="OSRRefH13x_0" localSheetId="2">Summary!$H$13:$H$100</definedName>
    <definedName name="OSRRefH16x_0" localSheetId="48">'300'!$H$82:$H$122</definedName>
    <definedName name="OSRRefH16x_0" localSheetId="49">'300 &amp; 317'!$H$96:$H$144</definedName>
    <definedName name="OSRRefH16x_0" localSheetId="50">'301'!$H$15</definedName>
    <definedName name="OSRRefH16x_0" localSheetId="56">'307'!$H$28:$H$37</definedName>
    <definedName name="OSRRefH16x_0" localSheetId="52">'308'!$H$40:$H$56</definedName>
    <definedName name="OSRRefH16x_0" localSheetId="65">'309'!$H$19:$H$20</definedName>
    <definedName name="OSRRefH16x_0" localSheetId="64">'310'!$H$26:$H$28</definedName>
    <definedName name="OSRRefH16x_0" localSheetId="72">'310 &amp; 491'!$H$28:$H$30</definedName>
    <definedName name="OSRRefH16x_0" localSheetId="53">'311'!$H$40:$H$56</definedName>
    <definedName name="OSRRefH16x_0" localSheetId="66">'313'!$H$19</definedName>
    <definedName name="OSRRefH16x_0" localSheetId="58">'315'!$H$57:$H$81</definedName>
    <definedName name="OSRRefH16x_0" localSheetId="61">'316'!$H$28</definedName>
    <definedName name="OSRRefH16x_0" localSheetId="63">'317'!$H$36:$H$48</definedName>
    <definedName name="OSRRefH16x_0" localSheetId="67">'321'!$H$19:$H$21</definedName>
    <definedName name="OSRRefH16x_0" localSheetId="68">'322'!$H$15</definedName>
    <definedName name="OSRRefH16x_0" localSheetId="54">'324'!$H$19:$H$21</definedName>
    <definedName name="OSRRefH16x_0" localSheetId="69">'325'!$H$17:$H$18</definedName>
    <definedName name="OSRRefH16x_0" localSheetId="59">'326'!$H$39:$H$46</definedName>
    <definedName name="OSRRefH16x_0" localSheetId="70">'327'!$H$17:$H$18</definedName>
    <definedName name="OSRRefH16x_0" localSheetId="55">'331'!$H$57:$H$82</definedName>
    <definedName name="OSRRefH16x_0" localSheetId="60">'332'!$H$28:$H$30</definedName>
    <definedName name="OSRRefH16x_0" localSheetId="57">'333'!$H$59:$H$84</definedName>
    <definedName name="OSRRefH16x_0" localSheetId="74">'405'!$H$17:$H$18</definedName>
    <definedName name="OSRRefH16x_0" localSheetId="79">'414'!$H$16</definedName>
    <definedName name="OSRRefH16x_0" localSheetId="80">'415'!$H$17:$H$18</definedName>
    <definedName name="OSRRefH16x_0" localSheetId="81">'418'!$H$15</definedName>
    <definedName name="OSRRefH16x_0" localSheetId="85">'425'!$H$16</definedName>
    <definedName name="OSRRefH16x_0" localSheetId="89">'433'!$H$18:$H$19</definedName>
    <definedName name="OSRRefH16x_0" localSheetId="91">'444'!$H$18:$H$19</definedName>
    <definedName name="OSRRefH16x_0" localSheetId="92">'450'!$H$18:$H$19</definedName>
    <definedName name="OSRRefH16x_0" localSheetId="73">'491'!$H$20:$H$21</definedName>
    <definedName name="OSRRefH16x_0" localSheetId="87">'492'!$H$18:$H$19</definedName>
    <definedName name="OSRRefH16x_0" localSheetId="47">'Div 3'!$H$87:$H$129</definedName>
    <definedName name="OSRRefH16x_0" localSheetId="71">'Div 4'!$H$21:$H$22</definedName>
    <definedName name="OSRRefH16x_0" localSheetId="62">'Div 6'!$H$36:$H$48</definedName>
    <definedName name="OSRRefH16x_0" localSheetId="2">Summary!$H$103:$H$153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'300'!$H$128:$H$137</definedName>
    <definedName name="OSRRefH22_0x_0" localSheetId="49">'300 &amp; 317'!$H$150:$H$159</definedName>
    <definedName name="OSRRefH22_0x_0" localSheetId="50">'301'!$H$21:$H$30</definedName>
    <definedName name="OSRRefH22_0x_0" localSheetId="51">'306'!$H$20:$H$23</definedName>
    <definedName name="OSRRefH22_0x_0" localSheetId="56">'307'!$H$43:$H$45</definedName>
    <definedName name="OSRRefH22_0x_0" localSheetId="52">'308'!$H$62:$H$70</definedName>
    <definedName name="OSRRefH22_0x_0" localSheetId="65">'309'!$H$26:$H$27</definedName>
    <definedName name="OSRRefH22_0x_0" localSheetId="64">'310'!$H$34:$H$42</definedName>
    <definedName name="OSRRefH22_0x_0" localSheetId="72">'310 &amp; 491'!$H$36:$H$44</definedName>
    <definedName name="OSRRefH22_0x_0" localSheetId="53">'311'!$H$62:$H$70</definedName>
    <definedName name="OSRRefH22_0x_0" localSheetId="66">'313'!$H$25:$H$32</definedName>
    <definedName name="OSRRefH22_0x_0" localSheetId="58">'315'!$H$87:$H$94</definedName>
    <definedName name="OSRRefH22_0x_0" localSheetId="61">'316'!$H$34:$H$41</definedName>
    <definedName name="OSRRefH22_0x_0" localSheetId="63">'317'!$H$54:$H$62</definedName>
    <definedName name="OSRRefH22_0x_0" localSheetId="67">'321'!$H$27:$H$35</definedName>
    <definedName name="OSRRefH22_0x_0" localSheetId="68">'322'!$H$21:$H$25</definedName>
    <definedName name="OSRRefH22_0x_0" localSheetId="69">'325'!$H$24:$H$31</definedName>
    <definedName name="OSRRefH22_0x_0" localSheetId="59">'326'!$H$52:$H$59</definedName>
    <definedName name="OSRRefH22_0x_0" localSheetId="70">'327'!$H$24</definedName>
    <definedName name="OSRRefH22_0x_0" localSheetId="55">'331'!$H$88:$H$95</definedName>
    <definedName name="OSRRefH22_0x_0" localSheetId="60">'332'!$H$36:$H$43</definedName>
    <definedName name="OSRRefH22_0x_0" localSheetId="57">'333'!$H$90:$H$97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'414'!$H$22</definedName>
    <definedName name="OSRRefH22_0x_0" localSheetId="80">'415'!$H$24:$H$31</definedName>
    <definedName name="OSRRefH22_0x_0" localSheetId="81">'418'!$H$21:$H$28</definedName>
    <definedName name="OSRRefH22_0x_0" localSheetId="82">'420'!$H$21</definedName>
    <definedName name="OSRRefH22_0x_0" localSheetId="83">'423'!$H$20:$H$21</definedName>
    <definedName name="OSRRefH22_0x_0" localSheetId="84">'424'!$H$20</definedName>
    <definedName name="OSRRefH22_0x_0" localSheetId="85">'425'!$H$22:$H$26</definedName>
    <definedName name="OSRRefH22_0x_0" localSheetId="88">'430'!$H$20:$H$27</definedName>
    <definedName name="OSRRefH22_0x_0" localSheetId="89">'433'!$H$25:$H$33</definedName>
    <definedName name="OSRRefH22_0x_0" localSheetId="90">'435'!$H$20</definedName>
    <definedName name="OSRRefH22_0x_0" localSheetId="91">'444'!$H$25:$H$33</definedName>
    <definedName name="OSRRefH22_0x_0" localSheetId="92">'450'!$H$25:$H$33</definedName>
    <definedName name="OSRRefH22_0x_0" localSheetId="73">'491'!$H$27:$H$34</definedName>
    <definedName name="OSRRefH22_0x_0" localSheetId="87">'492'!$H$25:$H$33</definedName>
    <definedName name="OSRRefH22_0x_0" localSheetId="94">'501'!$H$21:$H$29</definedName>
    <definedName name="OSRRefH22_0x_0" localSheetId="39">'Div 2'!$H$20:$H$30</definedName>
    <definedName name="OSRRefH22_0x_0" localSheetId="47">'Div 3'!$H$135:$H$144</definedName>
    <definedName name="OSRRefH22_0x_0" localSheetId="71">'Div 4'!$H$28:$H$36</definedName>
    <definedName name="OSRRefH22_0x_0" localSheetId="93">'Div 5'!$H$21:$H$29</definedName>
    <definedName name="OSRRefH22_0x_0" localSheetId="62">'Div 6'!$H$54:$H$62</definedName>
    <definedName name="OSRRefH22_0x_0" localSheetId="2">Summary!$H$159:$H$168</definedName>
    <definedName name="OSRRefH22_10x_0" localSheetId="41">'201'!$H$52:$H$53</definedName>
    <definedName name="OSRRefH22_10x_0" localSheetId="42">'202'!$H$53</definedName>
    <definedName name="OSRRefH22_10x_0" localSheetId="43">'203'!$H$56:$H$59</definedName>
    <definedName name="OSRRefH22_10x_0" localSheetId="48">'300'!$H$166:$H$167</definedName>
    <definedName name="OSRRefH22_10x_0" localSheetId="49">'300 &amp; 317'!$H$188:$H$189</definedName>
    <definedName name="OSRRefH22_10x_0" localSheetId="50">'301'!$H$59</definedName>
    <definedName name="OSRRefH22_10x_0" localSheetId="56">'307'!$H$71</definedName>
    <definedName name="OSRRefH22_10x_0" localSheetId="52">'308'!$H$100:$H$101</definedName>
    <definedName name="OSRRefH22_10x_0" localSheetId="65">'309'!$H$50:$H$51</definedName>
    <definedName name="OSRRefH22_10x_0" localSheetId="64">'310'!$H$68</definedName>
    <definedName name="OSRRefH22_10x_0" localSheetId="72">'310 &amp; 491'!$H$72</definedName>
    <definedName name="OSRRefH22_10x_0" localSheetId="53">'311'!$H$100:$H$101</definedName>
    <definedName name="OSRRefH22_10x_0" localSheetId="58">'315'!$H$122:$H$123</definedName>
    <definedName name="OSRRefH22_10x_0" localSheetId="61">'316'!$H$66:$H$70</definedName>
    <definedName name="OSRRefH22_10x_0" localSheetId="63">'317'!$H$89</definedName>
    <definedName name="OSRRefH22_10x_0" localSheetId="67">'321'!$H$62:$H$66</definedName>
    <definedName name="OSRRefH22_10x_0" localSheetId="69">'325'!$H$54:$H$55</definedName>
    <definedName name="OSRRefH22_10x_0" localSheetId="59">'326'!$H$84</definedName>
    <definedName name="OSRRefH22_10x_0" localSheetId="55">'331'!$H$122</definedName>
    <definedName name="OSRRefH22_10x_0" localSheetId="60">'332'!$H$68:$H$72</definedName>
    <definedName name="OSRRefH22_10x_0" localSheetId="57">'333'!$H$124</definedName>
    <definedName name="OSRRefH22_10x_0" localSheetId="74">'405'!$H$55:$H$56</definedName>
    <definedName name="OSRRefH22_10x_0" localSheetId="76">'411'!$H$54:$H$56</definedName>
    <definedName name="OSRRefH22_10x_0" localSheetId="80">'415'!$H$56</definedName>
    <definedName name="OSRRefH22_10x_0" localSheetId="81">'418'!$H$53</definedName>
    <definedName name="OSRRefH22_10x_0" localSheetId="89">'433'!$H$57</definedName>
    <definedName name="OSRRefH22_10x_0" localSheetId="91">'444'!$H$58</definedName>
    <definedName name="OSRRefH22_10x_0" localSheetId="92">'450'!$H$57</definedName>
    <definedName name="OSRRefH22_10x_0" localSheetId="73">'491'!$H$60</definedName>
    <definedName name="OSRRefH22_10x_0" localSheetId="87">'492'!$H$59</definedName>
    <definedName name="OSRRefH22_10x_0" localSheetId="94">'501'!$H$59</definedName>
    <definedName name="OSRRefH22_10x_0" localSheetId="39">'Div 2'!$H$56</definedName>
    <definedName name="OSRRefH22_10x_0" localSheetId="47">'Div 3'!$H$173:$H$174</definedName>
    <definedName name="OSRRefH22_10x_0" localSheetId="71">'Div 4'!$H$63</definedName>
    <definedName name="OSRRefH22_10x_0" localSheetId="93">'Div 5'!$H$59</definedName>
    <definedName name="OSRRefH22_10x_0" localSheetId="62">'Div 6'!$H$89</definedName>
    <definedName name="OSRRefH22_10x_0" localSheetId="2">Summary!$H$197:$H$198</definedName>
    <definedName name="OSRRefH22_11x_0" localSheetId="41">'201'!$H$55</definedName>
    <definedName name="OSRRefH22_11x_0" localSheetId="42">'202'!$H$55</definedName>
    <definedName name="OSRRefH22_11x_0" localSheetId="43">'203'!$H$61</definedName>
    <definedName name="OSRRefH22_11x_0" localSheetId="48">'300'!$H$169</definedName>
    <definedName name="OSRRefH22_11x_0" localSheetId="49">'300 &amp; 317'!$H$191</definedName>
    <definedName name="OSRRefH22_11x_0" localSheetId="50">'301'!$H$61</definedName>
    <definedName name="OSRRefH22_11x_0" localSheetId="56">'307'!$H$73:$H$76</definedName>
    <definedName name="OSRRefH22_11x_0" localSheetId="52">'308'!$H$103:$H$104</definedName>
    <definedName name="OSRRefH22_11x_0" localSheetId="65">'309'!$H$53</definedName>
    <definedName name="OSRRefH22_11x_0" localSheetId="64">'310'!$H$70:$H$71</definedName>
    <definedName name="OSRRefH22_11x_0" localSheetId="72">'310 &amp; 491'!$H$74</definedName>
    <definedName name="OSRRefH22_11x_0" localSheetId="53">'311'!$H$103:$H$104</definedName>
    <definedName name="OSRRefH22_11x_0" localSheetId="58">'315'!$H$125:$H$126</definedName>
    <definedName name="OSRRefH22_11x_0" localSheetId="61">'316'!$H$72</definedName>
    <definedName name="OSRRefH22_11x_0" localSheetId="67">'321'!$H$68</definedName>
    <definedName name="OSRRefH22_11x_0" localSheetId="69">'325'!$H$57:$H$60</definedName>
    <definedName name="OSRRefH22_11x_0" localSheetId="59">'326'!$H$86:$H$88</definedName>
    <definedName name="OSRRefH22_11x_0" localSheetId="55">'331'!$H$124:$H$125</definedName>
    <definedName name="OSRRefH22_11x_0" localSheetId="60">'332'!$H$74</definedName>
    <definedName name="OSRRefH22_11x_0" localSheetId="57">'333'!$H$126:$H$127</definedName>
    <definedName name="OSRRefH22_11x_0" localSheetId="74">'405'!$H$58:$H$61</definedName>
    <definedName name="OSRRefH22_11x_0" localSheetId="76">'411'!$H$58:$H$59</definedName>
    <definedName name="OSRRefH22_11x_0" localSheetId="80">'415'!$H$58:$H$59</definedName>
    <definedName name="OSRRefH22_11x_0" localSheetId="81">'418'!$H$55:$H$59</definedName>
    <definedName name="OSRRefH22_11x_0" localSheetId="89">'433'!$H$59:$H$60</definedName>
    <definedName name="OSRRefH22_11x_0" localSheetId="91">'444'!$H$60:$H$61</definedName>
    <definedName name="OSRRefH22_11x_0" localSheetId="92">'450'!$H$59</definedName>
    <definedName name="OSRRefH22_11x_0" localSheetId="73">'491'!$H$62</definedName>
    <definedName name="OSRRefH22_11x_0" localSheetId="87">'492'!$H$61</definedName>
    <definedName name="OSRRefH22_11x_0" localSheetId="39">'Div 2'!$H$58</definedName>
    <definedName name="OSRRefH22_11x_0" localSheetId="47">'Div 3'!$H$176</definedName>
    <definedName name="OSRRefH22_11x_0" localSheetId="71">'Div 4'!$H$65</definedName>
    <definedName name="OSRRefH22_11x_0" localSheetId="2">Summary!$H$200</definedName>
    <definedName name="OSRRefH22_12x_0" localSheetId="41">'201'!$H$57:$H$58</definedName>
    <definedName name="OSRRefH22_12x_0" localSheetId="42">'202'!$H$57</definedName>
    <definedName name="OSRRefH22_12x_0" localSheetId="43">'203'!$H$63</definedName>
    <definedName name="OSRRefH22_12x_0" localSheetId="48">'300'!$H$171</definedName>
    <definedName name="OSRRefH22_12x_0" localSheetId="49">'300 &amp; 317'!$H$193</definedName>
    <definedName name="OSRRefH22_12x_0" localSheetId="50">'301'!$H$63</definedName>
    <definedName name="OSRRefH22_12x_0" localSheetId="56">'307'!$H$78</definedName>
    <definedName name="OSRRefH22_12x_0" localSheetId="52">'308'!$H$106:$H$107</definedName>
    <definedName name="OSRRefH22_12x_0" localSheetId="65">'309'!$H$55</definedName>
    <definedName name="OSRRefH22_12x_0" localSheetId="64">'310'!$H$73</definedName>
    <definedName name="OSRRefH22_12x_0" localSheetId="72">'310 &amp; 491'!$H$76</definedName>
    <definedName name="OSRRefH22_12x_0" localSheetId="53">'311'!$H$106:$H$107</definedName>
    <definedName name="OSRRefH22_12x_0" localSheetId="58">'315'!$H$128:$H$129</definedName>
    <definedName name="OSRRefH22_12x_0" localSheetId="61">'316'!$H$74</definedName>
    <definedName name="OSRRefH22_12x_0" localSheetId="67">'321'!$H$70</definedName>
    <definedName name="OSRRefH22_12x_0" localSheetId="69">'325'!$H$62:$H$66</definedName>
    <definedName name="OSRRefH22_12x_0" localSheetId="59">'326'!$H$90:$H$92</definedName>
    <definedName name="OSRRefH22_12x_0" localSheetId="55">'331'!$H$127</definedName>
    <definedName name="OSRRefH22_12x_0" localSheetId="60">'332'!$H$76</definedName>
    <definedName name="OSRRefH22_12x_0" localSheetId="57">'333'!$H$129</definedName>
    <definedName name="OSRRefH22_12x_0" localSheetId="74">'405'!$H$63</definedName>
    <definedName name="OSRRefH22_12x_0" localSheetId="76">'411'!$H$61</definedName>
    <definedName name="OSRRefH22_12x_0" localSheetId="80">'415'!$H$61:$H$64</definedName>
    <definedName name="OSRRefH22_12x_0" localSheetId="81">'418'!$H$61</definedName>
    <definedName name="OSRRefH22_12x_0" localSheetId="89">'433'!$H$62:$H$64</definedName>
    <definedName name="OSRRefH22_12x_0" localSheetId="91">'444'!$H$63:$H$66</definedName>
    <definedName name="OSRRefH22_12x_0" localSheetId="92">'450'!$H$61:$H$62</definedName>
    <definedName name="OSRRefH22_12x_0" localSheetId="73">'491'!$H$64</definedName>
    <definedName name="OSRRefH22_12x_0" localSheetId="87">'492'!$H$63:$H$65</definedName>
    <definedName name="OSRRefH22_12x_0" localSheetId="39">'Div 2'!$H$60:$H$62</definedName>
    <definedName name="OSRRefH22_12x_0" localSheetId="47">'Div 3'!$H$178</definedName>
    <definedName name="OSRRefH22_12x_0" localSheetId="71">'Div 4'!$H$67</definedName>
    <definedName name="OSRRefH22_12x_0" localSheetId="2">Summary!$H$202</definedName>
    <definedName name="OSRRefH22_13x_0" localSheetId="41">'201'!$H$60</definedName>
    <definedName name="OSRRefH22_13x_0" localSheetId="43">'203'!$H$65</definedName>
    <definedName name="OSRRefH22_13x_0" localSheetId="48">'300'!$H$173:$H$174</definedName>
    <definedName name="OSRRefH22_13x_0" localSheetId="49">'300 &amp; 317'!$H$195:$H$196</definedName>
    <definedName name="OSRRefH22_13x_0" localSheetId="50">'301'!$H$65</definedName>
    <definedName name="OSRRefH22_13x_0" localSheetId="56">'307'!$H$80</definedName>
    <definedName name="OSRRefH22_13x_0" localSheetId="52">'308'!$H$109</definedName>
    <definedName name="OSRRefH22_13x_0" localSheetId="64">'310'!$H$75:$H$78</definedName>
    <definedName name="OSRRefH22_13x_0" localSheetId="72">'310 &amp; 491'!$H$78:$H$80</definedName>
    <definedName name="OSRRefH22_13x_0" localSheetId="53">'311'!$H$109</definedName>
    <definedName name="OSRRefH22_13x_0" localSheetId="58">'315'!$H$131:$H$135</definedName>
    <definedName name="OSRRefH22_13x_0" localSheetId="67">'321'!$H$72</definedName>
    <definedName name="OSRRefH22_13x_0" localSheetId="69">'325'!$H$68</definedName>
    <definedName name="OSRRefH22_13x_0" localSheetId="59">'326'!$H$94:$H$95</definedName>
    <definedName name="OSRRefH22_13x_0" localSheetId="55">'331'!$H$129</definedName>
    <definedName name="OSRRefH22_13x_0" localSheetId="57">'333'!$H$131</definedName>
    <definedName name="OSRRefH22_13x_0" localSheetId="74">'405'!$H$65:$H$72</definedName>
    <definedName name="OSRRefH22_13x_0" localSheetId="76">'411'!$H$63:$H$64</definedName>
    <definedName name="OSRRefH22_13x_0" localSheetId="80">'415'!$H$66</definedName>
    <definedName name="OSRRefH22_13x_0" localSheetId="81">'418'!$H$63</definedName>
    <definedName name="OSRRefH22_13x_0" localSheetId="89">'433'!$H$66:$H$73</definedName>
    <definedName name="OSRRefH22_13x_0" localSheetId="91">'444'!$H$68</definedName>
    <definedName name="OSRRefH22_13x_0" localSheetId="92">'450'!$H$64:$H$66</definedName>
    <definedName name="OSRRefH22_13x_0" localSheetId="73">'491'!$H$66:$H$68</definedName>
    <definedName name="OSRRefH22_13x_0" localSheetId="87">'492'!$H$67:$H$70</definedName>
    <definedName name="OSRRefH22_13x_0" localSheetId="39">'Div 2'!$H$64:$H$67</definedName>
    <definedName name="OSRRefH22_13x_0" localSheetId="47">'Div 3'!$H$180</definedName>
    <definedName name="OSRRefH22_13x_0" localSheetId="71">'Div 4'!$H$69</definedName>
    <definedName name="OSRRefH22_13x_0" localSheetId="2">Summary!$H$204</definedName>
    <definedName name="OSRRefH22_14x_0" localSheetId="41">'201'!$H$62</definedName>
    <definedName name="OSRRefH22_14x_0" localSheetId="48">'300'!$H$176</definedName>
    <definedName name="OSRRefH22_14x_0" localSheetId="49">'300 &amp; 317'!$H$198</definedName>
    <definedName name="OSRRefH22_14x_0" localSheetId="50">'301'!$H$67</definedName>
    <definedName name="OSRRefH22_14x_0" localSheetId="64">'310'!$H$80:$H$85</definedName>
    <definedName name="OSRRefH22_14x_0" localSheetId="72">'310 &amp; 491'!$H$82</definedName>
    <definedName name="OSRRefH22_14x_0" localSheetId="58">'315'!$H$137</definedName>
    <definedName name="OSRRefH22_14x_0" localSheetId="69">'325'!$H$70</definedName>
    <definedName name="OSRRefH22_14x_0" localSheetId="59">'326'!$H$97:$H$100</definedName>
    <definedName name="OSRRefH22_14x_0" localSheetId="55">'331'!$H$131:$H$133</definedName>
    <definedName name="OSRRefH22_14x_0" localSheetId="57">'333'!$H$133:$H$135</definedName>
    <definedName name="OSRRefH22_14x_0" localSheetId="74">'405'!$H$74</definedName>
    <definedName name="OSRRefH22_14x_0" localSheetId="76">'411'!$H$66</definedName>
    <definedName name="OSRRefH22_14x_0" localSheetId="80">'415'!$H$68:$H$73</definedName>
    <definedName name="OSRRefH22_14x_0" localSheetId="89">'433'!$H$75</definedName>
    <definedName name="OSRRefH22_14x_0" localSheetId="91">'444'!$H$70:$H$77</definedName>
    <definedName name="OSRRefH22_14x_0" localSheetId="92">'450'!$H$68:$H$73</definedName>
    <definedName name="OSRRefH22_14x_0" localSheetId="73">'491'!$H$70</definedName>
    <definedName name="OSRRefH22_14x_0" localSheetId="87">'492'!$H$72</definedName>
    <definedName name="OSRRefH22_14x_0" localSheetId="39">'Div 2'!$H$69</definedName>
    <definedName name="OSRRefH22_14x_0" localSheetId="47">'Div 3'!$H$182:$H$183</definedName>
    <definedName name="OSRRefH22_14x_0" localSheetId="71">'Div 4'!$H$71</definedName>
    <definedName name="OSRRefH22_14x_0" localSheetId="2">Summary!$H$206:$H$207</definedName>
    <definedName name="OSRRefH22_15x_0" localSheetId="48">'300'!$H$178</definedName>
    <definedName name="OSRRefH22_15x_0" localSheetId="49">'300 &amp; 317'!$H$200</definedName>
    <definedName name="OSRRefH22_15x_0" localSheetId="50">'301'!$H$69:$H$72</definedName>
    <definedName name="OSRRefH22_15x_0" localSheetId="64">'310'!$H$87</definedName>
    <definedName name="OSRRefH22_15x_0" localSheetId="72">'310 &amp; 491'!$H$84:$H$87</definedName>
    <definedName name="OSRRefH22_15x_0" localSheetId="58">'315'!$H$139</definedName>
    <definedName name="OSRRefH22_15x_0" localSheetId="69">'325'!$H$72</definedName>
    <definedName name="OSRRefH22_15x_0" localSheetId="59">'326'!$H$102</definedName>
    <definedName name="OSRRefH22_15x_0" localSheetId="55">'331'!$H$135:$H$136</definedName>
    <definedName name="OSRRefH22_15x_0" localSheetId="57">'333'!$H$137:$H$138</definedName>
    <definedName name="OSRRefH22_15x_0" localSheetId="74">'405'!$H$76</definedName>
    <definedName name="OSRRefH22_15x_0" localSheetId="80">'415'!$H$75</definedName>
    <definedName name="OSRRefH22_15x_0" localSheetId="91">'444'!$H$79</definedName>
    <definedName name="OSRRefH22_15x_0" localSheetId="92">'450'!$H$75</definedName>
    <definedName name="OSRRefH22_15x_0" localSheetId="73">'491'!$H$72:$H$75</definedName>
    <definedName name="OSRRefH22_15x_0" localSheetId="87">'492'!$H$74:$H$81</definedName>
    <definedName name="OSRRefH22_15x_0" localSheetId="39">'Div 2'!$H$71:$H$72</definedName>
    <definedName name="OSRRefH22_15x_0" localSheetId="47">'Div 3'!$H$185</definedName>
    <definedName name="OSRRefH22_15x_0" localSheetId="71">'Div 4'!$H$73:$H$75</definedName>
    <definedName name="OSRRefH22_15x_0" localSheetId="2">Summary!$H$209</definedName>
    <definedName name="OSRRefH22_16x_0" localSheetId="48">'300'!$H$180:$H$183</definedName>
    <definedName name="OSRRefH22_16x_0" localSheetId="49">'300 &amp; 317'!$H$202:$H$205</definedName>
    <definedName name="OSRRefH22_16x_0" localSheetId="50">'301'!$H$74:$H$76</definedName>
    <definedName name="OSRRefH22_16x_0" localSheetId="64">'310'!$H$89</definedName>
    <definedName name="OSRRefH22_16x_0" localSheetId="72">'310 &amp; 491'!$H$89</definedName>
    <definedName name="OSRRefH22_16x_0" localSheetId="58">'315'!$H$141</definedName>
    <definedName name="OSRRefH22_16x_0" localSheetId="59">'326'!$H$104</definedName>
    <definedName name="OSRRefH22_16x_0" localSheetId="55">'331'!$H$138:$H$140</definedName>
    <definedName name="OSRRefH22_16x_0" localSheetId="57">'333'!$H$140:$H$143</definedName>
    <definedName name="OSRRefH22_16x_0" localSheetId="74">'405'!$H$78</definedName>
    <definedName name="OSRRefH22_16x_0" localSheetId="80">'415'!$H$77</definedName>
    <definedName name="OSRRefH22_16x_0" localSheetId="91">'444'!$H$81</definedName>
    <definedName name="OSRRefH22_16x_0" localSheetId="92">'450'!$H$77</definedName>
    <definedName name="OSRRefH22_16x_0" localSheetId="73">'491'!$H$77</definedName>
    <definedName name="OSRRefH22_16x_0" localSheetId="87">'492'!$H$83</definedName>
    <definedName name="OSRRefH22_16x_0" localSheetId="39">'Div 2'!$H$74:$H$78</definedName>
    <definedName name="OSRRefH22_16x_0" localSheetId="47">'Div 3'!$H$187</definedName>
    <definedName name="OSRRefH22_16x_0" localSheetId="71">'Div 4'!$H$77</definedName>
    <definedName name="OSRRefH22_16x_0" localSheetId="2">Summary!$H$211</definedName>
    <definedName name="OSRRefH22_17x_0" localSheetId="48">'300'!$H$185:$H$187</definedName>
    <definedName name="OSRRefH22_17x_0" localSheetId="49">'300 &amp; 317'!$H$207:$H$209</definedName>
    <definedName name="OSRRefH22_17x_0" localSheetId="50">'301'!$H$78</definedName>
    <definedName name="OSRRefH22_17x_0" localSheetId="64">'310'!$H$91</definedName>
    <definedName name="OSRRefH22_17x_0" localSheetId="72">'310 &amp; 491'!$H$91:$H$99</definedName>
    <definedName name="OSRRefH22_17x_0" localSheetId="59">'326'!$H$106</definedName>
    <definedName name="OSRRefH22_17x_0" localSheetId="55">'331'!$H$142:$H$143</definedName>
    <definedName name="OSRRefH22_17x_0" localSheetId="57">'333'!$H$145:$H$146</definedName>
    <definedName name="OSRRefH22_17x_0" localSheetId="80">'415'!$H$79</definedName>
    <definedName name="OSRRefH22_17x_0" localSheetId="73">'491'!$H$79:$H$87</definedName>
    <definedName name="OSRRefH22_17x_0" localSheetId="87">'492'!$H$85</definedName>
    <definedName name="OSRRefH22_17x_0" localSheetId="39">'Div 2'!$H$80:$H$81</definedName>
    <definedName name="OSRRefH22_17x_0" localSheetId="47">'Div 3'!$H$189:$H$192</definedName>
    <definedName name="OSRRefH22_17x_0" localSheetId="71">'Div 4'!$H$79:$H$82</definedName>
    <definedName name="OSRRefH22_17x_0" localSheetId="2">Summary!$H$213</definedName>
    <definedName name="OSRRefH22_18x_0" localSheetId="48">'300'!$H$189:$H$192</definedName>
    <definedName name="OSRRefH22_18x_0" localSheetId="49">'300 &amp; 317'!$H$211:$H$214</definedName>
    <definedName name="OSRRefH22_18x_0" localSheetId="50">'301'!$H$80:$H$85</definedName>
    <definedName name="OSRRefH22_18x_0" localSheetId="72">'310 &amp; 491'!$H$101</definedName>
    <definedName name="OSRRefH22_18x_0" localSheetId="55">'331'!$H$145:$H$150</definedName>
    <definedName name="OSRRefH22_18x_0" localSheetId="57">'333'!$H$148:$H$153</definedName>
    <definedName name="OSRRefH22_18x_0" localSheetId="73">'491'!$H$89</definedName>
    <definedName name="OSRRefH22_18x_0" localSheetId="87">'492'!$H$87:$H$88</definedName>
    <definedName name="OSRRefH22_18x_0" localSheetId="39">'Div 2'!$H$83</definedName>
    <definedName name="OSRRefH22_18x_0" localSheetId="47">'Div 3'!$H$194:$H$196</definedName>
    <definedName name="OSRRefH22_18x_0" localSheetId="71">'Div 4'!$H$84:$H$85</definedName>
    <definedName name="OSRRefH22_18x_0" localSheetId="2">Summary!$H$215:$H$218</definedName>
    <definedName name="OSRRefH22_19x_0" localSheetId="48">'300'!$H$194:$H$195</definedName>
    <definedName name="OSRRefH22_19x_0" localSheetId="49">'300 &amp; 317'!$H$216:$H$217</definedName>
    <definedName name="OSRRefH22_19x_0" localSheetId="50">'301'!$H$87</definedName>
    <definedName name="OSRRefH22_19x_0" localSheetId="72">'310 &amp; 491'!$H$103</definedName>
    <definedName name="OSRRefH22_19x_0" localSheetId="55">'331'!$H$152</definedName>
    <definedName name="OSRRefH22_19x_0" localSheetId="57">'333'!$H$155</definedName>
    <definedName name="OSRRefH22_19x_0" localSheetId="73">'491'!$H$91</definedName>
    <definedName name="OSRRefH22_19x_0" localSheetId="39">'Div 2'!$H$85:$H$86</definedName>
    <definedName name="OSRRefH22_19x_0" localSheetId="47">'Div 3'!$H$198:$H$202</definedName>
    <definedName name="OSRRefH22_19x_0" localSheetId="71">'Div 4'!$H$87:$H$95</definedName>
    <definedName name="OSRRefH22_19x_0" localSheetId="2">Summary!$H$220:$H$222</definedName>
    <definedName name="OSRRefH22_1x_0" localSheetId="40">'200'!$H$22</definedName>
    <definedName name="OSRRefH22_1x_0" localSheetId="41">'201'!$H$29:$H$32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'206'!$H$29:$H$32</definedName>
    <definedName name="OSRRefH22_1x_0" localSheetId="48">'300'!$H$139:$H$145</definedName>
    <definedName name="OSRRefH22_1x_0" localSheetId="49">'300 &amp; 317'!$H$161:$H$167</definedName>
    <definedName name="OSRRefH22_1x_0" localSheetId="50">'301'!$H$32:$H$38</definedName>
    <definedName name="OSRRefH22_1x_0" localSheetId="51">'306'!$H$25:$H$26</definedName>
    <definedName name="OSRRefH22_1x_0" localSheetId="56">'307'!$H$47:$H$50</definedName>
    <definedName name="OSRRefH22_1x_0" localSheetId="52">'308'!$H$72:$H$78</definedName>
    <definedName name="OSRRefH22_1x_0" localSheetId="65">'309'!$H$29:$H$30</definedName>
    <definedName name="OSRRefH22_1x_0" localSheetId="64">'310'!$H$44:$H$49</definedName>
    <definedName name="OSRRefH22_1x_0" localSheetId="72">'310 &amp; 491'!$H$46:$H$52</definedName>
    <definedName name="OSRRefH22_1x_0" localSheetId="53">'311'!$H$72:$H$78</definedName>
    <definedName name="OSRRefH22_1x_0" localSheetId="66">'313'!$H$34</definedName>
    <definedName name="OSRRefH22_1x_0" localSheetId="58">'315'!$H$96:$H$101</definedName>
    <definedName name="OSRRefH22_1x_0" localSheetId="61">'316'!$H$43:$H$45</definedName>
    <definedName name="OSRRefH22_1x_0" localSheetId="63">'317'!$H$64:$H$68</definedName>
    <definedName name="OSRRefH22_1x_0" localSheetId="67">'321'!$H$37:$H$42</definedName>
    <definedName name="OSRRefH22_1x_0" localSheetId="68">'322'!$H$27</definedName>
    <definedName name="OSRRefH22_1x_0" localSheetId="69">'325'!$H$33:$H$35</definedName>
    <definedName name="OSRRefH22_1x_0" localSheetId="59">'326'!$H$61:$H$66</definedName>
    <definedName name="OSRRefH22_1x_0" localSheetId="70">'327'!$H$26</definedName>
    <definedName name="OSRRefH22_1x_0" localSheetId="55">'331'!$H$97:$H$102</definedName>
    <definedName name="OSRRefH22_1x_0" localSheetId="60">'332'!$H$45:$H$47</definedName>
    <definedName name="OSRRefH22_1x_0" localSheetId="57">'333'!$H$99:$H$104</definedName>
    <definedName name="OSRRefH22_1x_0" localSheetId="74">'405'!$H$33:$H$36</definedName>
    <definedName name="OSRRefH22_1x_0" localSheetId="75">'406'!$H$22</definedName>
    <definedName name="OSRRefH22_1x_0" localSheetId="76">'411'!$H$29:$H$33</definedName>
    <definedName name="OSRRefH22_1x_0" localSheetId="77">'412'!$H$22</definedName>
    <definedName name="OSRRefH22_1x_0" localSheetId="78">'413'!$H$26</definedName>
    <definedName name="OSRRefH22_1x_0" localSheetId="79">'414'!$H$24</definedName>
    <definedName name="OSRRefH22_1x_0" localSheetId="80">'415'!$H$33:$H$37</definedName>
    <definedName name="OSRRefH22_1x_0" localSheetId="81">'418'!$H$30:$H$33</definedName>
    <definedName name="OSRRefH22_1x_0" localSheetId="83">'423'!$H$23</definedName>
    <definedName name="OSRRefH22_1x_0" localSheetId="84">'424'!$H$22</definedName>
    <definedName name="OSRRefH22_1x_0" localSheetId="85">'425'!$H$28</definedName>
    <definedName name="OSRRefH22_1x_0" localSheetId="88">'430'!$H$29</definedName>
    <definedName name="OSRRefH22_1x_0" localSheetId="89">'433'!$H$35:$H$39</definedName>
    <definedName name="OSRRefH22_1x_0" localSheetId="90">'435'!$H$22</definedName>
    <definedName name="OSRRefH22_1x_0" localSheetId="91">'444'!$H$35:$H$40</definedName>
    <definedName name="OSRRefH22_1x_0" localSheetId="92">'450'!$H$35:$H$39</definedName>
    <definedName name="OSRRefH22_1x_0" localSheetId="73">'491'!$H$36:$H$41</definedName>
    <definedName name="OSRRefH22_1x_0" localSheetId="87">'492'!$H$35:$H$41</definedName>
    <definedName name="OSRRefH22_1x_0" localSheetId="94">'501'!$H$31:$H$36</definedName>
    <definedName name="OSRRefH22_1x_0" localSheetId="39">'Div 2'!$H$32:$H$37</definedName>
    <definedName name="OSRRefH22_1x_0" localSheetId="47">'Div 3'!$H$146:$H$152</definedName>
    <definedName name="OSRRefH22_1x_0" localSheetId="71">'Div 4'!$H$38:$H$44</definedName>
    <definedName name="OSRRefH22_1x_0" localSheetId="93">'Div 5'!$H$31:$H$36</definedName>
    <definedName name="OSRRefH22_1x_0" localSheetId="62">'Div 6'!$H$64:$H$68</definedName>
    <definedName name="OSRRefH22_1x_0" localSheetId="2">Summary!$H$170:$H$176</definedName>
    <definedName name="OSRRefH22_20x_0" localSheetId="48">'300'!$H$197:$H$203</definedName>
    <definedName name="OSRRefH22_20x_0" localSheetId="49">'300 &amp; 317'!$H$219:$H$225</definedName>
    <definedName name="OSRRefH22_20x_0" localSheetId="50">'301'!$H$89</definedName>
    <definedName name="OSRRefH22_20x_0" localSheetId="72">'310 &amp; 491'!$H$105:$H$106</definedName>
    <definedName name="OSRRefH22_20x_0" localSheetId="55">'331'!$H$154</definedName>
    <definedName name="OSRRefH22_20x_0" localSheetId="57">'333'!$H$157</definedName>
    <definedName name="OSRRefH22_20x_0" localSheetId="73">'491'!$H$93:$H$94</definedName>
    <definedName name="OSRRefH22_20x_0" localSheetId="47">'Div 3'!$H$204:$H$205</definedName>
    <definedName name="OSRRefH22_20x_0" localSheetId="71">'Div 4'!$H$97</definedName>
    <definedName name="OSRRefH22_20x_0" localSheetId="2">Summary!$H$224:$H$228</definedName>
    <definedName name="OSRRefH22_21x_0" localSheetId="48">'300'!$H$205:$H$206</definedName>
    <definedName name="OSRRefH22_21x_0" localSheetId="49">'300 &amp; 317'!$H$227:$H$228</definedName>
    <definedName name="OSRRefH22_21x_0" localSheetId="50">'301'!$H$91:$H$92</definedName>
    <definedName name="OSRRefH22_21x_0" localSheetId="72">'310 &amp; 491'!$H$108</definedName>
    <definedName name="OSRRefH22_21x_0" localSheetId="55">'331'!$H$156</definedName>
    <definedName name="OSRRefH22_21x_0" localSheetId="57">'333'!$H$159</definedName>
    <definedName name="OSRRefH22_21x_0" localSheetId="73">'491'!$H$96</definedName>
    <definedName name="OSRRefH22_21x_0" localSheetId="47">'Div 3'!$H$207:$H$213</definedName>
    <definedName name="OSRRefH22_21x_0" localSheetId="71">'Div 4'!$H$99</definedName>
    <definedName name="OSRRefH22_21x_0" localSheetId="2">Summary!$H$230:$H$231</definedName>
    <definedName name="OSRRefH22_22x_0" localSheetId="48">'300'!$H$208</definedName>
    <definedName name="OSRRefH22_22x_0" localSheetId="49">'300 &amp; 317'!$H$230</definedName>
    <definedName name="OSRRefH22_22x_0" localSheetId="50">'301'!$H$94</definedName>
    <definedName name="OSRRefH22_22x_0" localSheetId="55">'331'!$H$158</definedName>
    <definedName name="OSRRefH22_22x_0" localSheetId="57">'333'!$H$161</definedName>
    <definedName name="OSRRefH22_22x_0" localSheetId="47">'Div 3'!$H$215:$H$216</definedName>
    <definedName name="OSRRefH22_22x_0" localSheetId="71">'Div 4'!$H$101:$H$102</definedName>
    <definedName name="OSRRefH22_22x_0" localSheetId="2">Summary!$H$233:$H$241</definedName>
    <definedName name="OSRRefH22_23x_0" localSheetId="48">'300'!$H$210:$H$212</definedName>
    <definedName name="OSRRefH22_23x_0" localSheetId="49">'300 &amp; 317'!$H$232:$H$234</definedName>
    <definedName name="OSRRefH22_23x_0" localSheetId="47">'Div 3'!$H$218</definedName>
    <definedName name="OSRRefH22_23x_0" localSheetId="71">'Div 4'!$H$104</definedName>
    <definedName name="OSRRefH22_23x_0" localSheetId="2">Summary!$H$243:$H$244</definedName>
    <definedName name="OSRRefH22_24x_0" localSheetId="48">'300'!$H$214</definedName>
    <definedName name="OSRRefH22_24x_0" localSheetId="49">'300 &amp; 317'!$H$236</definedName>
    <definedName name="OSRRefH22_24x_0" localSheetId="47">'Div 3'!$H$220:$H$222</definedName>
    <definedName name="OSRRefH22_24x_0" localSheetId="2">Summary!$H$246</definedName>
    <definedName name="OSRRefH22_25x_0" localSheetId="47">'Div 3'!$H$224</definedName>
    <definedName name="OSRRefH22_25x_0" localSheetId="2">Summary!$H$248:$H$250</definedName>
    <definedName name="OSRRefH22_26x_0" localSheetId="2">Summary!$H$252</definedName>
    <definedName name="OSRRefH22_2x_0" localSheetId="40">'200'!$H$24</definedName>
    <definedName name="OSRRefH22_2x_0" localSheetId="41">'201'!$H$34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'206'!$H$34</definedName>
    <definedName name="OSRRefH22_2x_0" localSheetId="48">'300'!$H$147</definedName>
    <definedName name="OSRRefH22_2x_0" localSheetId="49">'300 &amp; 317'!$H$169</definedName>
    <definedName name="OSRRefH22_2x_0" localSheetId="50">'301'!$H$40</definedName>
    <definedName name="OSRRefH22_2x_0" localSheetId="51">'306'!$H$28</definedName>
    <definedName name="OSRRefH22_2x_0" localSheetId="56">'307'!$H$52</definedName>
    <definedName name="OSRRefH22_2x_0" localSheetId="52">'308'!$H$80</definedName>
    <definedName name="OSRRefH22_2x_0" localSheetId="65">'309'!$H$32</definedName>
    <definedName name="OSRRefH22_2x_0" localSheetId="64">'310'!$H$51</definedName>
    <definedName name="OSRRefH22_2x_0" localSheetId="72">'310 &amp; 491'!$H$54</definedName>
    <definedName name="OSRRefH22_2x_0" localSheetId="53">'311'!$H$80</definedName>
    <definedName name="OSRRefH22_2x_0" localSheetId="66">'313'!$H$36</definedName>
    <definedName name="OSRRefH22_2x_0" localSheetId="58">'315'!$H$103</definedName>
    <definedName name="OSRRefH22_2x_0" localSheetId="61">'316'!$H$47</definedName>
    <definedName name="OSRRefH22_2x_0" localSheetId="63">'317'!$H$70</definedName>
    <definedName name="OSRRefH22_2x_0" localSheetId="67">'321'!$H$44</definedName>
    <definedName name="OSRRefH22_2x_0" localSheetId="68">'322'!$H$29</definedName>
    <definedName name="OSRRefH22_2x_0" localSheetId="69">'325'!$H$37</definedName>
    <definedName name="OSRRefH22_2x_0" localSheetId="59">'326'!$H$68</definedName>
    <definedName name="OSRRefH22_2x_0" localSheetId="55">'331'!$H$104</definedName>
    <definedName name="OSRRefH22_2x_0" localSheetId="60">'332'!$H$49</definedName>
    <definedName name="OSRRefH22_2x_0" localSheetId="57">'333'!$H$106</definedName>
    <definedName name="OSRRefH22_2x_0" localSheetId="74">'405'!$H$38</definedName>
    <definedName name="OSRRefH22_2x_0" localSheetId="75">'406'!$H$24</definedName>
    <definedName name="OSRRefH22_2x_0" localSheetId="76">'411'!$H$35</definedName>
    <definedName name="OSRRefH22_2x_0" localSheetId="77">'412'!$H$24:$H$25</definedName>
    <definedName name="OSRRefH22_2x_0" localSheetId="78">'413'!$H$28</definedName>
    <definedName name="OSRRefH22_2x_0" localSheetId="79">'414'!$H$26</definedName>
    <definedName name="OSRRefH22_2x_0" localSheetId="80">'415'!$H$39</definedName>
    <definedName name="OSRRefH22_2x_0" localSheetId="81">'418'!$H$35</definedName>
    <definedName name="OSRRefH22_2x_0" localSheetId="83">'423'!$H$25</definedName>
    <definedName name="OSRRefH22_2x_0" localSheetId="84">'424'!$H$24</definedName>
    <definedName name="OSRRefH22_2x_0" localSheetId="85">'425'!$H$30</definedName>
    <definedName name="OSRRefH22_2x_0" localSheetId="88">'430'!$H$31</definedName>
    <definedName name="OSRRefH22_2x_0" localSheetId="89">'433'!$H$41</definedName>
    <definedName name="OSRRefH22_2x_0" localSheetId="91">'444'!$H$42</definedName>
    <definedName name="OSRRefH22_2x_0" localSheetId="92">'450'!$H$41</definedName>
    <definedName name="OSRRefH22_2x_0" localSheetId="73">'491'!$H$43</definedName>
    <definedName name="OSRRefH22_2x_0" localSheetId="87">'492'!$H$43</definedName>
    <definedName name="OSRRefH22_2x_0" localSheetId="94">'501'!$H$38</definedName>
    <definedName name="OSRRefH22_2x_0" localSheetId="39">'Div 2'!$H$39</definedName>
    <definedName name="OSRRefH22_2x_0" localSheetId="47">'Div 3'!$H$154</definedName>
    <definedName name="OSRRefH22_2x_0" localSheetId="71">'Div 4'!$H$46</definedName>
    <definedName name="OSRRefH22_2x_0" localSheetId="93">'Div 5'!$H$38</definedName>
    <definedName name="OSRRefH22_2x_0" localSheetId="62">'Div 6'!$H$70</definedName>
    <definedName name="OSRRefH22_2x_0" localSheetId="2">Summary!$H$178</definedName>
    <definedName name="OSRRefH22_3x_0" localSheetId="40">'200'!$H$26</definedName>
    <definedName name="OSRRefH22_3x_0" localSheetId="41">'201'!$H$36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'206'!$H$36</definedName>
    <definedName name="OSRRefH22_3x_0" localSheetId="48">'300'!$H$149:$H$150</definedName>
    <definedName name="OSRRefH22_3x_0" localSheetId="49">'300 &amp; 317'!$H$171:$H$172</definedName>
    <definedName name="OSRRefH22_3x_0" localSheetId="50">'301'!$H$42:$H$43</definedName>
    <definedName name="OSRRefH22_3x_0" localSheetId="51">'306'!$H$30</definedName>
    <definedName name="OSRRefH22_3x_0" localSheetId="56">'307'!$H$54</definedName>
    <definedName name="OSRRefH22_3x_0" localSheetId="52">'308'!$H$82:$H$83</definedName>
    <definedName name="OSRRefH22_3x_0" localSheetId="65">'309'!$H$34</definedName>
    <definedName name="OSRRefH22_3x_0" localSheetId="64">'310'!$H$53</definedName>
    <definedName name="OSRRefH22_3x_0" localSheetId="72">'310 &amp; 491'!$H$56</definedName>
    <definedName name="OSRRefH22_3x_0" localSheetId="53">'311'!$H$82:$H$83</definedName>
    <definedName name="OSRRefH22_3x_0" localSheetId="66">'313'!$H$38</definedName>
    <definedName name="OSRRefH22_3x_0" localSheetId="58">'315'!$H$105:$H$106</definedName>
    <definedName name="OSRRefH22_3x_0" localSheetId="61">'316'!$H$49</definedName>
    <definedName name="OSRRefH22_3x_0" localSheetId="63">'317'!$H$72</definedName>
    <definedName name="OSRRefH22_3x_0" localSheetId="67">'321'!$H$46</definedName>
    <definedName name="OSRRefH22_3x_0" localSheetId="68">'322'!$H$31</definedName>
    <definedName name="OSRRefH22_3x_0" localSheetId="69">'325'!$H$39</definedName>
    <definedName name="OSRRefH22_3x_0" localSheetId="59">'326'!$H$70</definedName>
    <definedName name="OSRRefH22_3x_0" localSheetId="55">'331'!$H$106</definedName>
    <definedName name="OSRRefH22_3x_0" localSheetId="60">'332'!$H$51</definedName>
    <definedName name="OSRRefH22_3x_0" localSheetId="57">'333'!$H$108</definedName>
    <definedName name="OSRRefH22_3x_0" localSheetId="74">'405'!$H$40</definedName>
    <definedName name="OSRRefH22_3x_0" localSheetId="75">'406'!$H$26</definedName>
    <definedName name="OSRRefH22_3x_0" localSheetId="76">'411'!$H$37:$H$38</definedName>
    <definedName name="OSRRefH22_3x_0" localSheetId="77">'412'!$H$27</definedName>
    <definedName name="OSRRefH22_3x_0" localSheetId="78">'413'!$H$30</definedName>
    <definedName name="OSRRefH22_3x_0" localSheetId="79">'414'!$H$28</definedName>
    <definedName name="OSRRefH22_3x_0" localSheetId="80">'415'!$H$41</definedName>
    <definedName name="OSRRefH22_3x_0" localSheetId="81">'418'!$H$37</definedName>
    <definedName name="OSRRefH22_3x_0" localSheetId="83">'423'!$H$27</definedName>
    <definedName name="OSRRefH22_3x_0" localSheetId="84">'424'!$H$26</definedName>
    <definedName name="OSRRefH22_3x_0" localSheetId="85">'425'!$H$32</definedName>
    <definedName name="OSRRefH22_3x_0" localSheetId="88">'430'!$H$33</definedName>
    <definedName name="OSRRefH22_3x_0" localSheetId="89">'433'!$H$43</definedName>
    <definedName name="OSRRefH22_3x_0" localSheetId="91">'444'!$H$44</definedName>
    <definedName name="OSRRefH22_3x_0" localSheetId="92">'450'!$H$43</definedName>
    <definedName name="OSRRefH22_3x_0" localSheetId="73">'491'!$H$45</definedName>
    <definedName name="OSRRefH22_3x_0" localSheetId="87">'492'!$H$45</definedName>
    <definedName name="OSRRefH22_3x_0" localSheetId="94">'501'!$H$40</definedName>
    <definedName name="OSRRefH22_3x_0" localSheetId="39">'Div 2'!$H$41</definedName>
    <definedName name="OSRRefH22_3x_0" localSheetId="47">'Div 3'!$H$156:$H$157</definedName>
    <definedName name="OSRRefH22_3x_0" localSheetId="71">'Div 4'!$H$48</definedName>
    <definedName name="OSRRefH22_3x_0" localSheetId="93">'Div 5'!$H$40</definedName>
    <definedName name="OSRRefH22_3x_0" localSheetId="62">'Div 6'!$H$72</definedName>
    <definedName name="OSRRefH22_3x_0" localSheetId="2">Summary!$H$180:$H$181</definedName>
    <definedName name="OSRRefH22_4x_0" localSheetId="41">'201'!$H$38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'205'!$H$35:$H$36</definedName>
    <definedName name="OSRRefH22_4x_0" localSheetId="46">'206'!$H$38</definedName>
    <definedName name="OSRRefH22_4x_0" localSheetId="48">'300'!$H$152</definedName>
    <definedName name="OSRRefH22_4x_0" localSheetId="49">'300 &amp; 317'!$H$174</definedName>
    <definedName name="OSRRefH22_4x_0" localSheetId="50">'301'!$H$45</definedName>
    <definedName name="OSRRefH22_4x_0" localSheetId="51">'306'!$H$32</definedName>
    <definedName name="OSRRefH22_4x_0" localSheetId="56">'307'!$H$56:$H$57</definedName>
    <definedName name="OSRRefH22_4x_0" localSheetId="52">'308'!$H$85</definedName>
    <definedName name="OSRRefH22_4x_0" localSheetId="65">'309'!$H$36</definedName>
    <definedName name="OSRRefH22_4x_0" localSheetId="64">'310'!$H$55</definedName>
    <definedName name="OSRRefH22_4x_0" localSheetId="72">'310 &amp; 491'!$H$58</definedName>
    <definedName name="OSRRefH22_4x_0" localSheetId="53">'311'!$H$85</definedName>
    <definedName name="OSRRefH22_4x_0" localSheetId="66">'313'!$H$40</definedName>
    <definedName name="OSRRefH22_4x_0" localSheetId="58">'315'!$H$108</definedName>
    <definedName name="OSRRefH22_4x_0" localSheetId="61">'316'!$H$51</definedName>
    <definedName name="OSRRefH22_4x_0" localSheetId="63">'317'!$H$74</definedName>
    <definedName name="OSRRefH22_4x_0" localSheetId="67">'321'!$H$48</definedName>
    <definedName name="OSRRefH22_4x_0" localSheetId="68">'322'!$H$33:$H$34</definedName>
    <definedName name="OSRRefH22_4x_0" localSheetId="69">'325'!$H$41</definedName>
    <definedName name="OSRRefH22_4x_0" localSheetId="59">'326'!$H$72</definedName>
    <definedName name="OSRRefH22_4x_0" localSheetId="55">'331'!$H$108</definedName>
    <definedName name="OSRRefH22_4x_0" localSheetId="60">'332'!$H$53</definedName>
    <definedName name="OSRRefH22_4x_0" localSheetId="57">'333'!$H$110</definedName>
    <definedName name="OSRRefH22_4x_0" localSheetId="74">'405'!$H$42</definedName>
    <definedName name="OSRRefH22_4x_0" localSheetId="75">'406'!$H$28</definedName>
    <definedName name="OSRRefH22_4x_0" localSheetId="76">'411'!$H$40</definedName>
    <definedName name="OSRRefH22_4x_0" localSheetId="77">'412'!$H$29</definedName>
    <definedName name="OSRRefH22_4x_0" localSheetId="78">'413'!$H$32</definedName>
    <definedName name="OSRRefH22_4x_0" localSheetId="79">'414'!$H$30</definedName>
    <definedName name="OSRRefH22_4x_0" localSheetId="80">'415'!$H$43</definedName>
    <definedName name="OSRRefH22_4x_0" localSheetId="81">'418'!$H$39:$H$40</definedName>
    <definedName name="OSRRefH22_4x_0" localSheetId="85">'425'!$H$34</definedName>
    <definedName name="OSRRefH22_4x_0" localSheetId="88">'430'!$H$35</definedName>
    <definedName name="OSRRefH22_4x_0" localSheetId="89">'433'!$H$45</definedName>
    <definedName name="OSRRefH22_4x_0" localSheetId="91">'444'!$H$46</definedName>
    <definedName name="OSRRefH22_4x_0" localSheetId="92">'450'!$H$45</definedName>
    <definedName name="OSRRefH22_4x_0" localSheetId="73">'491'!$H$47</definedName>
    <definedName name="OSRRefH22_4x_0" localSheetId="87">'492'!$H$47</definedName>
    <definedName name="OSRRefH22_4x_0" localSheetId="94">'501'!$H$42:$H$43</definedName>
    <definedName name="OSRRefH22_4x_0" localSheetId="39">'Div 2'!$H$43</definedName>
    <definedName name="OSRRefH22_4x_0" localSheetId="47">'Div 3'!$H$159</definedName>
    <definedName name="OSRRefH22_4x_0" localSheetId="71">'Div 4'!$H$50</definedName>
    <definedName name="OSRRefH22_4x_0" localSheetId="93">'Div 5'!$H$42:$H$43</definedName>
    <definedName name="OSRRefH22_4x_0" localSheetId="62">'Div 6'!$H$74</definedName>
    <definedName name="OSRRefH22_4x_0" localSheetId="2">Summary!$H$183</definedName>
    <definedName name="OSRRefH22_5x_0" localSheetId="41">'201'!$H$40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'205'!$H$38:$H$40</definedName>
    <definedName name="OSRRefH22_5x_0" localSheetId="46">'206'!$H$40</definedName>
    <definedName name="OSRRefH22_5x_0" localSheetId="48">'300'!$H$154:$H$155</definedName>
    <definedName name="OSRRefH22_5x_0" localSheetId="49">'300 &amp; 317'!$H$176:$H$177</definedName>
    <definedName name="OSRRefH22_5x_0" localSheetId="50">'301'!$H$47:$H$48</definedName>
    <definedName name="OSRRefH22_5x_0" localSheetId="51">'306'!$H$34</definedName>
    <definedName name="OSRRefH22_5x_0" localSheetId="56">'307'!$H$59</definedName>
    <definedName name="OSRRefH22_5x_0" localSheetId="52">'308'!$H$87</definedName>
    <definedName name="OSRRefH22_5x_0" localSheetId="65">'309'!$H$38</definedName>
    <definedName name="OSRRefH22_5x_0" localSheetId="64">'310'!$H$57:$H$58</definedName>
    <definedName name="OSRRefH22_5x_0" localSheetId="72">'310 &amp; 491'!$H$60:$H$61</definedName>
    <definedName name="OSRRefH22_5x_0" localSheetId="53">'311'!$H$87</definedName>
    <definedName name="OSRRefH22_5x_0" localSheetId="66">'313'!$H$42</definedName>
    <definedName name="OSRRefH22_5x_0" localSheetId="58">'315'!$H$110</definedName>
    <definedName name="OSRRefH22_5x_0" localSheetId="61">'316'!$H$53</definedName>
    <definedName name="OSRRefH22_5x_0" localSheetId="63">'317'!$H$76:$H$77</definedName>
    <definedName name="OSRRefH22_5x_0" localSheetId="67">'321'!$H$50</definedName>
    <definedName name="OSRRefH22_5x_0" localSheetId="68">'322'!$H$36</definedName>
    <definedName name="OSRRefH22_5x_0" localSheetId="69">'325'!$H$43:$H$44</definedName>
    <definedName name="OSRRefH22_5x_0" localSheetId="59">'326'!$H$74</definedName>
    <definedName name="OSRRefH22_5x_0" localSheetId="55">'331'!$H$110:$H$111</definedName>
    <definedName name="OSRRefH22_5x_0" localSheetId="60">'332'!$H$55</definedName>
    <definedName name="OSRRefH22_5x_0" localSheetId="57">'333'!$H$112:$H$113</definedName>
    <definedName name="OSRRefH22_5x_0" localSheetId="74">'405'!$H$44:$H$45</definedName>
    <definedName name="OSRRefH22_5x_0" localSheetId="76">'411'!$H$42</definedName>
    <definedName name="OSRRefH22_5x_0" localSheetId="78">'413'!$H$34</definedName>
    <definedName name="OSRRefH22_5x_0" localSheetId="79">'414'!$H$32:$H$33</definedName>
    <definedName name="OSRRefH22_5x_0" localSheetId="80">'415'!$H$45:$H$46</definedName>
    <definedName name="OSRRefH22_5x_0" localSheetId="81">'418'!$H$42</definedName>
    <definedName name="OSRRefH22_5x_0" localSheetId="85">'425'!$H$36:$H$37</definedName>
    <definedName name="OSRRefH22_5x_0" localSheetId="88">'430'!$H$37:$H$38</definedName>
    <definedName name="OSRRefH22_5x_0" localSheetId="89">'433'!$H$47</definedName>
    <definedName name="OSRRefH22_5x_0" localSheetId="91">'444'!$H$48</definedName>
    <definedName name="OSRRefH22_5x_0" localSheetId="92">'450'!$H$47</definedName>
    <definedName name="OSRRefH22_5x_0" localSheetId="73">'491'!$H$49:$H$50</definedName>
    <definedName name="OSRRefH22_5x_0" localSheetId="87">'492'!$H$49</definedName>
    <definedName name="OSRRefH22_5x_0" localSheetId="94">'501'!$H$45</definedName>
    <definedName name="OSRRefH22_5x_0" localSheetId="39">'Div 2'!$H$45</definedName>
    <definedName name="OSRRefH22_5x_0" localSheetId="47">'Div 3'!$H$161:$H$162</definedName>
    <definedName name="OSRRefH22_5x_0" localSheetId="71">'Div 4'!$H$52:$H$53</definedName>
    <definedName name="OSRRefH22_5x_0" localSheetId="93">'Div 5'!$H$45</definedName>
    <definedName name="OSRRefH22_5x_0" localSheetId="62">'Div 6'!$H$76:$H$77</definedName>
    <definedName name="OSRRefH22_5x_0" localSheetId="2">Summary!$H$185:$H$186</definedName>
    <definedName name="OSRRefH22_6x_0" localSheetId="41">'201'!$H$42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'205'!$H$42</definedName>
    <definedName name="OSRRefH22_6x_0" localSheetId="46">'206'!$H$42</definedName>
    <definedName name="OSRRefH22_6x_0" localSheetId="48">'300'!$H$157:$H$158</definedName>
    <definedName name="OSRRefH22_6x_0" localSheetId="49">'300 &amp; 317'!$H$179:$H$180</definedName>
    <definedName name="OSRRefH22_6x_0" localSheetId="50">'301'!$H$50:$H$51</definedName>
    <definedName name="OSRRefH22_6x_0" localSheetId="56">'307'!$H$61</definedName>
    <definedName name="OSRRefH22_6x_0" localSheetId="52">'308'!$H$89:$H$90</definedName>
    <definedName name="OSRRefH22_6x_0" localSheetId="65">'309'!$H$40</definedName>
    <definedName name="OSRRefH22_6x_0" localSheetId="64">'310'!$H$60</definedName>
    <definedName name="OSRRefH22_6x_0" localSheetId="72">'310 &amp; 491'!$H$63</definedName>
    <definedName name="OSRRefH22_6x_0" localSheetId="53">'311'!$H$89:$H$90</definedName>
    <definedName name="OSRRefH22_6x_0" localSheetId="66">'313'!$H$44</definedName>
    <definedName name="OSRRefH22_6x_0" localSheetId="58">'315'!$H$112:$H$113</definedName>
    <definedName name="OSRRefH22_6x_0" localSheetId="61">'316'!$H$55:$H$56</definedName>
    <definedName name="OSRRefH22_6x_0" localSheetId="63">'317'!$H$79</definedName>
    <definedName name="OSRRefH22_6x_0" localSheetId="67">'321'!$H$52</definedName>
    <definedName name="OSRRefH22_6x_0" localSheetId="68">'322'!$H$38</definedName>
    <definedName name="OSRRefH22_6x_0" localSheetId="69">'325'!$H$46</definedName>
    <definedName name="OSRRefH22_6x_0" localSheetId="59">'326'!$H$76</definedName>
    <definedName name="OSRRefH22_6x_0" localSheetId="55">'331'!$H$113</definedName>
    <definedName name="OSRRefH22_6x_0" localSheetId="60">'332'!$H$57:$H$58</definedName>
    <definedName name="OSRRefH22_6x_0" localSheetId="57">'333'!$H$115</definedName>
    <definedName name="OSRRefH22_6x_0" localSheetId="74">'405'!$H$47</definedName>
    <definedName name="OSRRefH22_6x_0" localSheetId="76">'411'!$H$44</definedName>
    <definedName name="OSRRefH22_6x_0" localSheetId="80">'415'!$H$48</definedName>
    <definedName name="OSRRefH22_6x_0" localSheetId="81">'418'!$H$44</definedName>
    <definedName name="OSRRefH22_6x_0" localSheetId="85">'425'!$H$39</definedName>
    <definedName name="OSRRefH22_6x_0" localSheetId="88">'430'!$H$40</definedName>
    <definedName name="OSRRefH22_6x_0" localSheetId="89">'433'!$H$49</definedName>
    <definedName name="OSRRefH22_6x_0" localSheetId="91">'444'!$H$50</definedName>
    <definedName name="OSRRefH22_6x_0" localSheetId="92">'450'!$H$49</definedName>
    <definedName name="OSRRefH22_6x_0" localSheetId="73">'491'!$H$52</definedName>
    <definedName name="OSRRefH22_6x_0" localSheetId="87">'492'!$H$51</definedName>
    <definedName name="OSRRefH22_6x_0" localSheetId="94">'501'!$H$47</definedName>
    <definedName name="OSRRefH22_6x_0" localSheetId="39">'Div 2'!$H$47</definedName>
    <definedName name="OSRRefH22_6x_0" localSheetId="47">'Div 3'!$H$164:$H$165</definedName>
    <definedName name="OSRRefH22_6x_0" localSheetId="71">'Div 4'!$H$55</definedName>
    <definedName name="OSRRefH22_6x_0" localSheetId="93">'Div 5'!$H$47</definedName>
    <definedName name="OSRRefH22_6x_0" localSheetId="62">'Div 6'!$H$79</definedName>
    <definedName name="OSRRefH22_6x_0" localSheetId="2">Summary!$H$188:$H$189</definedName>
    <definedName name="OSRRefH22_7x_0" localSheetId="41">'201'!$H$44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'300'!$H$160</definedName>
    <definedName name="OSRRefH22_7x_0" localSheetId="49">'300 &amp; 317'!$H$182</definedName>
    <definedName name="OSRRefH22_7x_0" localSheetId="50">'301'!$H$53</definedName>
    <definedName name="OSRRefH22_7x_0" localSheetId="56">'307'!$H$63</definedName>
    <definedName name="OSRRefH22_7x_0" localSheetId="52">'308'!$H$92</definedName>
    <definedName name="OSRRefH22_7x_0" localSheetId="65">'309'!$H$42</definedName>
    <definedName name="OSRRefH22_7x_0" localSheetId="64">'310'!$H$62</definedName>
    <definedName name="OSRRefH22_7x_0" localSheetId="72">'310 &amp; 491'!$H$65</definedName>
    <definedName name="OSRRefH22_7x_0" localSheetId="53">'311'!$H$92</definedName>
    <definedName name="OSRRefH22_7x_0" localSheetId="66">'313'!$H$46</definedName>
    <definedName name="OSRRefH22_7x_0" localSheetId="58">'315'!$H$115</definedName>
    <definedName name="OSRRefH22_7x_0" localSheetId="61">'316'!$H$58</definedName>
    <definedName name="OSRRefH22_7x_0" localSheetId="63">'317'!$H$81</definedName>
    <definedName name="OSRRefH22_7x_0" localSheetId="67">'321'!$H$54:$H$55</definedName>
    <definedName name="OSRRefH22_7x_0" localSheetId="68">'322'!$H$40</definedName>
    <definedName name="OSRRefH22_7x_0" localSheetId="69">'325'!$H$48</definedName>
    <definedName name="OSRRefH22_7x_0" localSheetId="59">'326'!$H$78</definedName>
    <definedName name="OSRRefH22_7x_0" localSheetId="55">'331'!$H$115</definedName>
    <definedName name="OSRRefH22_7x_0" localSheetId="60">'332'!$H$60</definedName>
    <definedName name="OSRRefH22_7x_0" localSheetId="57">'333'!$H$117</definedName>
    <definedName name="OSRRefH22_7x_0" localSheetId="74">'405'!$H$49</definedName>
    <definedName name="OSRRefH22_7x_0" localSheetId="76">'411'!$H$46</definedName>
    <definedName name="OSRRefH22_7x_0" localSheetId="80">'415'!$H$50</definedName>
    <definedName name="OSRRefH22_7x_0" localSheetId="81">'418'!$H$46</definedName>
    <definedName name="OSRRefH22_7x_0" localSheetId="85">'425'!$H$41</definedName>
    <definedName name="OSRRefH22_7x_0" localSheetId="88">'430'!$H$42</definedName>
    <definedName name="OSRRefH22_7x_0" localSheetId="89">'433'!$H$51</definedName>
    <definedName name="OSRRefH22_7x_0" localSheetId="91">'444'!$H$52</definedName>
    <definedName name="OSRRefH22_7x_0" localSheetId="92">'450'!$H$51</definedName>
    <definedName name="OSRRefH22_7x_0" localSheetId="73">'491'!$H$54</definedName>
    <definedName name="OSRRefH22_7x_0" localSheetId="87">'492'!$H$53</definedName>
    <definedName name="OSRRefH22_7x_0" localSheetId="94">'501'!$H$49:$H$52</definedName>
    <definedName name="OSRRefH22_7x_0" localSheetId="39">'Div 2'!$H$49</definedName>
    <definedName name="OSRRefH22_7x_0" localSheetId="47">'Div 3'!$H$167</definedName>
    <definedName name="OSRRefH22_7x_0" localSheetId="71">'Div 4'!$H$57</definedName>
    <definedName name="OSRRefH22_7x_0" localSheetId="93">'Div 5'!$H$49:$H$52</definedName>
    <definedName name="OSRRefH22_7x_0" localSheetId="62">'Div 6'!$H$81</definedName>
    <definedName name="OSRRefH22_7x_0" localSheetId="2">Summary!$H$191</definedName>
    <definedName name="OSRRefH22_8x_0" localSheetId="41">'201'!$H$46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'300'!$H$162</definedName>
    <definedName name="OSRRefH22_8x_0" localSheetId="49">'300 &amp; 317'!$H$184</definedName>
    <definedName name="OSRRefH22_8x_0" localSheetId="50">'301'!$H$55</definedName>
    <definedName name="OSRRefH22_8x_0" localSheetId="56">'307'!$H$65:$H$66</definedName>
    <definedName name="OSRRefH22_8x_0" localSheetId="52">'308'!$H$94</definedName>
    <definedName name="OSRRefH22_8x_0" localSheetId="65">'309'!$H$44:$H$45</definedName>
    <definedName name="OSRRefH22_8x_0" localSheetId="64">'310'!$H$64</definedName>
    <definedName name="OSRRefH22_8x_0" localSheetId="72">'310 &amp; 491'!$H$67:$H$68</definedName>
    <definedName name="OSRRefH22_8x_0" localSheetId="53">'311'!$H$94</definedName>
    <definedName name="OSRRefH22_8x_0" localSheetId="58">'315'!$H$117:$H$118</definedName>
    <definedName name="OSRRefH22_8x_0" localSheetId="61">'316'!$H$60:$H$62</definedName>
    <definedName name="OSRRefH22_8x_0" localSheetId="63">'317'!$H$83:$H$85</definedName>
    <definedName name="OSRRefH22_8x_0" localSheetId="67">'321'!$H$57</definedName>
    <definedName name="OSRRefH22_8x_0" localSheetId="69">'325'!$H$50</definedName>
    <definedName name="OSRRefH22_8x_0" localSheetId="59">'326'!$H$80</definedName>
    <definedName name="OSRRefH22_8x_0" localSheetId="55">'331'!$H$117:$H$118</definedName>
    <definedName name="OSRRefH22_8x_0" localSheetId="60">'332'!$H$62:$H$64</definedName>
    <definedName name="OSRRefH22_8x_0" localSheetId="57">'333'!$H$119:$H$120</definedName>
    <definedName name="OSRRefH22_8x_0" localSheetId="74">'405'!$H$51</definedName>
    <definedName name="OSRRefH22_8x_0" localSheetId="76">'411'!$H$48</definedName>
    <definedName name="OSRRefH22_8x_0" localSheetId="80">'415'!$H$52</definedName>
    <definedName name="OSRRefH22_8x_0" localSheetId="81">'418'!$H$48:$H$49</definedName>
    <definedName name="OSRRefH22_8x_0" localSheetId="85">'425'!$H$43</definedName>
    <definedName name="OSRRefH22_8x_0" localSheetId="88">'430'!$H$44</definedName>
    <definedName name="OSRRefH22_8x_0" localSheetId="89">'433'!$H$53</definedName>
    <definedName name="OSRRefH22_8x_0" localSheetId="91">'444'!$H$54</definedName>
    <definedName name="OSRRefH22_8x_0" localSheetId="92">'450'!$H$53</definedName>
    <definedName name="OSRRefH22_8x_0" localSheetId="73">'491'!$H$56</definedName>
    <definedName name="OSRRefH22_8x_0" localSheetId="87">'492'!$H$55</definedName>
    <definedName name="OSRRefH22_8x_0" localSheetId="94">'501'!$H$54:$H$55</definedName>
    <definedName name="OSRRefH22_8x_0" localSheetId="39">'Div 2'!$H$51</definedName>
    <definedName name="OSRRefH22_8x_0" localSheetId="47">'Div 3'!$H$169</definedName>
    <definedName name="OSRRefH22_8x_0" localSheetId="71">'Div 4'!$H$59</definedName>
    <definedName name="OSRRefH22_8x_0" localSheetId="93">'Div 5'!$H$54:$H$55</definedName>
    <definedName name="OSRRefH22_8x_0" localSheetId="62">'Div 6'!$H$83:$H$85</definedName>
    <definedName name="OSRRefH22_8x_0" localSheetId="2">Summary!$H$193</definedName>
    <definedName name="OSRRefH22_9x_0" localSheetId="41">'201'!$H$48:$H$50</definedName>
    <definedName name="OSRRefH22_9x_0" localSheetId="42">'202'!$H$50:$H$51</definedName>
    <definedName name="OSRRefH22_9x_0" localSheetId="43">'203'!$H$53:$H$54</definedName>
    <definedName name="OSRRefH22_9x_0" localSheetId="44">'204'!$H$52</definedName>
    <definedName name="OSRRefH22_9x_0" localSheetId="48">'300'!$H$164</definedName>
    <definedName name="OSRRefH22_9x_0" localSheetId="49">'300 &amp; 317'!$H$186</definedName>
    <definedName name="OSRRefH22_9x_0" localSheetId="50">'301'!$H$57</definedName>
    <definedName name="OSRRefH22_9x_0" localSheetId="56">'307'!$H$68:$H$69</definedName>
    <definedName name="OSRRefH22_9x_0" localSheetId="52">'308'!$H$96:$H$98</definedName>
    <definedName name="OSRRefH22_9x_0" localSheetId="65">'309'!$H$47:$H$48</definedName>
    <definedName name="OSRRefH22_9x_0" localSheetId="64">'310'!$H$66</definedName>
    <definedName name="OSRRefH22_9x_0" localSheetId="72">'310 &amp; 491'!$H$70</definedName>
    <definedName name="OSRRefH22_9x_0" localSheetId="53">'311'!$H$96:$H$98</definedName>
    <definedName name="OSRRefH22_9x_0" localSheetId="58">'315'!$H$120</definedName>
    <definedName name="OSRRefH22_9x_0" localSheetId="61">'316'!$H$64</definedName>
    <definedName name="OSRRefH22_9x_0" localSheetId="63">'317'!$H$87</definedName>
    <definedName name="OSRRefH22_9x_0" localSheetId="67">'321'!$H$59:$H$60</definedName>
    <definedName name="OSRRefH22_9x_0" localSheetId="69">'325'!$H$52</definedName>
    <definedName name="OSRRefH22_9x_0" localSheetId="59">'326'!$H$82</definedName>
    <definedName name="OSRRefH22_9x_0" localSheetId="55">'331'!$H$120</definedName>
    <definedName name="OSRRefH22_9x_0" localSheetId="60">'332'!$H$66</definedName>
    <definedName name="OSRRefH22_9x_0" localSheetId="57">'333'!$H$122</definedName>
    <definedName name="OSRRefH22_9x_0" localSheetId="74">'405'!$H$53</definedName>
    <definedName name="OSRRefH22_9x_0" localSheetId="76">'411'!$H$50:$H$52</definedName>
    <definedName name="OSRRefH22_9x_0" localSheetId="80">'415'!$H$54</definedName>
    <definedName name="OSRRefH22_9x_0" localSheetId="81">'418'!$H$51</definedName>
    <definedName name="OSRRefH22_9x_0" localSheetId="89">'433'!$H$55</definedName>
    <definedName name="OSRRefH22_9x_0" localSheetId="91">'444'!$H$56</definedName>
    <definedName name="OSRRefH22_9x_0" localSheetId="92">'450'!$H$55</definedName>
    <definedName name="OSRRefH22_9x_0" localSheetId="73">'491'!$H$58</definedName>
    <definedName name="OSRRefH22_9x_0" localSheetId="87">'492'!$H$57</definedName>
    <definedName name="OSRRefH22_9x_0" localSheetId="94">'501'!$H$57</definedName>
    <definedName name="OSRRefH22_9x_0" localSheetId="39">'Div 2'!$H$53:$H$54</definedName>
    <definedName name="OSRRefH22_9x_0" localSheetId="47">'Div 3'!$H$171</definedName>
    <definedName name="OSRRefH22_9x_0" localSheetId="71">'Div 4'!$H$61</definedName>
    <definedName name="OSRRefH22_9x_0" localSheetId="93">'Div 5'!$H$57</definedName>
    <definedName name="OSRRefH22_9x_0" localSheetId="62">'Div 6'!$H$87</definedName>
    <definedName name="OSRRefH22_9x_0" localSheetId="2">Summary!$H$195</definedName>
    <definedName name="OSRRefH22x_0" localSheetId="40">'200'!$H$20,'200'!$H$22,'200'!$H$24,'200'!$H$26</definedName>
    <definedName name="OSRRefH22x_0" localSheetId="41">'201'!$H$20:$H$27,'201'!$H$29:$H$32,'201'!$H$34,'201'!$H$36,'201'!$H$38,'201'!$H$40,'201'!$H$42,'201'!$H$44,'201'!$H$46,'201'!$H$48:$H$50,'201'!$H$52:$H$53,'201'!$H$55,'201'!$H$57:$H$58,'201'!$H$60,'201'!$H$62</definedName>
    <definedName name="OSRRefH22x_0" localSheetId="42">'202'!$H$20:$H$27,'202'!$H$29:$H$31,'202'!$H$33,'202'!$H$35,'202'!$H$37,'202'!$H$39:$H$40,'202'!$H$42,'202'!$H$44:$H$46,'202'!$H$48,'202'!$H$50:$H$51,'202'!$H$53,'202'!$H$55,'202'!$H$57</definedName>
    <definedName name="OSRRefH22x_0" localSheetId="43">'203'!$H$20:$H$29,'203'!$H$31:$H$35,'203'!$H$37,'203'!$H$39,'203'!$H$41,'203'!$H$43,'203'!$H$45,'203'!$H$47:$H$48,'203'!$H$50:$H$51,'203'!$H$53:$H$54,'203'!$H$56:$H$59,'203'!$H$61,'203'!$H$63,'203'!$H$65</definedName>
    <definedName name="OSRRefH22x_0" localSheetId="44">'204'!$H$20:$H$28,'204'!$H$30:$H$32,'204'!$H$34,'204'!$H$36,'204'!$H$38,'204'!$H$40:$H$43,'204'!$H$45,'204'!$H$47:$H$48,'204'!$H$50,'204'!$H$52</definedName>
    <definedName name="OSRRefH22x_0" localSheetId="45">'205'!$H$20:$H$27,'205'!$H$29,'205'!$H$31,'205'!$H$33,'205'!$H$35:$H$36,'205'!$H$38:$H$40,'205'!$H$42</definedName>
    <definedName name="OSRRefH22x_0" localSheetId="46">'206'!$H$20:$H$27,'206'!$H$29:$H$32,'206'!$H$34,'206'!$H$36,'206'!$H$38,'206'!$H$40,'206'!$H$42</definedName>
    <definedName name="OSRRefH22x_0" localSheetId="48">'300'!$H$128:$H$137,'300'!$H$139:$H$145,'300'!$H$147,'300'!$H$149:$H$150,'300'!$H$152,'300'!$H$154:$H$155,'300'!$H$157:$H$158,'300'!$H$160,'300'!$H$162,'300'!$H$164,'300'!$H$166:$H$167,'300'!$H$169,'300'!$H$171,'300'!$H$173:$H$174,'300'!$H$176,'300'!$H$178,'300'!$H$180:$H$183,'300'!$H$185:$H$187,'300'!$H$189:$H$192,'300'!$H$194:$H$195,'300'!$H$197:$H$203,'300'!$H$205:$H$206,'300'!$H$208,'300'!$H$210:$H$212,'300'!$H$214</definedName>
    <definedName name="OSRRefH22x_0" localSheetId="49">'300 &amp; 317'!$H$150:$H$159,'300 &amp; 317'!$H$161:$H$167,'300 &amp; 317'!$H$169,'300 &amp; 317'!$H$171:$H$172,'300 &amp; 317'!$H$174,'300 &amp; 317'!$H$176:$H$177,'300 &amp; 317'!$H$179:$H$180,'300 &amp; 317'!$H$182,'300 &amp; 317'!$H$184,'300 &amp; 317'!$H$186,'300 &amp; 317'!$H$188:$H$189,'300 &amp; 317'!$H$191,'300 &amp; 317'!$H$193,'300 &amp; 317'!$H$195:$H$196,'300 &amp; 317'!$H$198,'300 &amp; 317'!$H$200,'300 &amp; 317'!$H$202:$H$205,'300 &amp; 317'!$H$207:$H$209,'300 &amp; 317'!$H$211:$H$214,'300 &amp; 317'!$H$216:$H$217,'300 &amp; 317'!$H$219:$H$225,'300 &amp; 317'!$H$227:$H$228,'300 &amp; 317'!$H$230,'300 &amp; 317'!$H$232:$H$234,'300 &amp; 317'!$H$236</definedName>
    <definedName name="OSRRefH22x_0" localSheetId="50">'301'!$H$21:$H$30,'301'!$H$32:$H$38,'301'!$H$40,'301'!$H$42:$H$43,'301'!$H$45,'301'!$H$47:$H$48,'301'!$H$50:$H$51,'301'!$H$53,'301'!$H$55,'301'!$H$57,'301'!$H$59,'301'!$H$61,'301'!$H$63,'301'!$H$65,'301'!$H$67,'301'!$H$69:$H$72,'301'!$H$74:$H$76,'301'!$H$78,'301'!$H$80:$H$85,'301'!$H$87,'301'!$H$89,'301'!$H$91:$H$92,'301'!$H$94</definedName>
    <definedName name="OSRRefH22x_0" localSheetId="51">'306'!$H$20:$H$23,'306'!$H$25:$H$26,'306'!$H$28,'306'!$H$30,'306'!$H$32,'306'!$H$34</definedName>
    <definedName name="OSRRefH22x_0" localSheetId="56">'307'!$H$43:$H$45,'307'!$H$47:$H$50,'307'!$H$52,'307'!$H$54,'307'!$H$56:$H$57,'307'!$H$59,'307'!$H$61,'307'!$H$63,'307'!$H$65:$H$66,'307'!$H$68:$H$69,'307'!$H$71,'307'!$H$73:$H$76,'307'!$H$78,'307'!$H$80</definedName>
    <definedName name="OSRRefH22x_0" localSheetId="52">'308'!$H$62:$H$70,'308'!$H$72:$H$78,'308'!$H$80,'308'!$H$82:$H$83,'308'!$H$85,'308'!$H$87,'308'!$H$89:$H$90,'308'!$H$92,'308'!$H$94,'308'!$H$96:$H$98,'308'!$H$100:$H$101,'308'!$H$103:$H$104,'308'!$H$106:$H$107,'308'!$H$109</definedName>
    <definedName name="OSRRefH22x_0" localSheetId="65">'309'!$H$26:$H$27,'309'!$H$29:$H$30,'309'!$H$32,'309'!$H$34,'309'!$H$36,'309'!$H$38,'309'!$H$40,'309'!$H$42,'309'!$H$44:$H$45,'309'!$H$47:$H$48,'309'!$H$50:$H$51,'309'!$H$53,'309'!$H$55</definedName>
    <definedName name="OSRRefH22x_0" localSheetId="64">'310'!$H$34:$H$42,'310'!$H$44:$H$49,'310'!$H$51,'310'!$H$53,'310'!$H$55,'310'!$H$57:$H$58,'310'!$H$60,'310'!$H$62,'310'!$H$64,'310'!$H$66,'310'!$H$68,'310'!$H$70:$H$71,'310'!$H$73,'310'!$H$75:$H$78,'310'!$H$80:$H$85,'310'!$H$87,'310'!$H$89,'310'!$H$91</definedName>
    <definedName name="OSRRefH22x_0" localSheetId="72">'310 &amp; 491'!$H$36:$H$44,'310 &amp; 491'!$H$46:$H$52,'310 &amp; 491'!$H$54,'310 &amp; 491'!$H$56,'310 &amp; 491'!$H$58,'310 &amp; 491'!$H$60:$H$61,'310 &amp; 491'!$H$63,'310 &amp; 491'!$H$65,'310 &amp; 491'!$H$67:$H$68,'310 &amp; 491'!$H$70,'310 &amp; 491'!$H$72,'310 &amp; 491'!$H$74,'310 &amp; 491'!$H$76,'310 &amp; 491'!$H$78:$H$80,'310 &amp; 491'!$H$82,'310 &amp; 491'!$H$84:$H$87,'310 &amp; 491'!$H$89,'310 &amp; 491'!$H$91:$H$99,'310 &amp; 491'!$H$101,'310 &amp; 491'!$H$103,'310 &amp; 491'!$H$105:$H$106,'310 &amp; 491'!$H$108</definedName>
    <definedName name="OSRRefH22x_0" localSheetId="53">'311'!$H$62:$H$70,'311'!$H$72:$H$78,'311'!$H$80,'311'!$H$82:$H$83,'311'!$H$85,'311'!$H$87,'311'!$H$89:$H$90,'311'!$H$92,'311'!$H$94,'311'!$H$96:$H$98,'311'!$H$100:$H$101,'311'!$H$103:$H$104,'311'!$H$106:$H$107,'311'!$H$109</definedName>
    <definedName name="OSRRefH22x_0" localSheetId="66">'313'!$H$25:$H$32,'313'!$H$34,'313'!$H$36,'313'!$H$38,'313'!$H$40,'313'!$H$42,'313'!$H$44,'313'!$H$46</definedName>
    <definedName name="OSRRefH22x_0" localSheetId="58">'315'!$H$87:$H$94,'315'!$H$96:$H$101,'315'!$H$103,'315'!$H$105:$H$106,'315'!$H$108,'315'!$H$110,'315'!$H$112:$H$113,'315'!$H$115,'315'!$H$117:$H$118,'315'!$H$120,'315'!$H$122:$H$123,'315'!$H$125:$H$126,'315'!$H$128:$H$129,'315'!$H$131:$H$135,'315'!$H$137,'315'!$H$139,'315'!$H$141</definedName>
    <definedName name="OSRRefH22x_0" localSheetId="61">'316'!$H$34:$H$41,'316'!$H$43:$H$45,'316'!$H$47,'316'!$H$49,'316'!$H$51,'316'!$H$53,'316'!$H$55:$H$56,'316'!$H$58,'316'!$H$60:$H$62,'316'!$H$64,'316'!$H$66:$H$70,'316'!$H$72,'316'!$H$74</definedName>
    <definedName name="OSRRefH22x_0" localSheetId="63">'317'!$H$54:$H$62,'317'!$H$64:$H$68,'317'!$H$70,'317'!$H$72,'317'!$H$74,'317'!$H$76:$H$77,'317'!$H$79,'317'!$H$81,'317'!$H$83:$H$85,'317'!$H$87,'317'!$H$89</definedName>
    <definedName name="OSRRefH22x_0" localSheetId="67">'321'!$H$27:$H$35,'321'!$H$37:$H$42,'321'!$H$44,'321'!$H$46,'321'!$H$48,'321'!$H$50,'321'!$H$52,'321'!$H$54:$H$55,'321'!$H$57,'321'!$H$59:$H$60,'321'!$H$62:$H$66,'321'!$H$68,'321'!$H$70,'321'!$H$72</definedName>
    <definedName name="OSRRefH22x_0" localSheetId="68">'322'!$H$21:$H$25,'322'!$H$27,'322'!$H$29,'322'!$H$31,'322'!$H$33:$H$34,'322'!$H$36,'322'!$H$38,'322'!$H$40</definedName>
    <definedName name="OSRRefH22x_0" localSheetId="69">'325'!$H$24:$H$31,'325'!$H$33:$H$35,'325'!$H$37,'325'!$H$39,'325'!$H$41,'325'!$H$43:$H$44,'325'!$H$46,'325'!$H$48,'325'!$H$50,'325'!$H$52,'325'!$H$54:$H$55,'325'!$H$57:$H$60,'325'!$H$62:$H$66,'325'!$H$68,'325'!$H$70,'325'!$H$72</definedName>
    <definedName name="OSRRefH22x_0" localSheetId="59">'326'!$H$52:$H$59,'326'!$H$61:$H$66,'326'!$H$68,'326'!$H$70,'326'!$H$72,'326'!$H$74,'326'!$H$76,'326'!$H$78,'326'!$H$80,'326'!$H$82,'326'!$H$84,'326'!$H$86:$H$88,'326'!$H$90:$H$92,'326'!$H$94:$H$95,'326'!$H$97:$H$100,'326'!$H$102,'326'!$H$104,'326'!$H$106</definedName>
    <definedName name="OSRRefH22x_0" localSheetId="70">'327'!$H$24,'327'!$H$26</definedName>
    <definedName name="OSRRefH22x_0" localSheetId="55">'331'!$H$88:$H$95,'331'!$H$97:$H$102,'331'!$H$104,'331'!$H$106,'331'!$H$108,'331'!$H$110:$H$111,'331'!$H$113,'331'!$H$115,'331'!$H$117:$H$118,'331'!$H$120,'331'!$H$122,'331'!$H$124:$H$125,'331'!$H$127,'331'!$H$129,'331'!$H$131:$H$133,'331'!$H$135:$H$136,'331'!$H$138:$H$140,'331'!$H$142:$H$143,'331'!$H$145:$H$150,'331'!$H$152,'331'!$H$154,'331'!$H$156,'331'!$H$158</definedName>
    <definedName name="OSRRefH22x_0" localSheetId="60">'332'!$H$36:$H$43,'332'!$H$45:$H$47,'332'!$H$49,'332'!$H$51,'332'!$H$53,'332'!$H$55,'332'!$H$57:$H$58,'332'!$H$60,'332'!$H$62:$H$64,'332'!$H$66,'332'!$H$68:$H$72,'332'!$H$74,'332'!$H$76</definedName>
    <definedName name="OSRRefH22x_0" localSheetId="57">'333'!$H$90:$H$97,'333'!$H$99:$H$104,'333'!$H$106,'333'!$H$108,'333'!$H$110,'333'!$H$112:$H$113,'333'!$H$115,'333'!$H$117,'333'!$H$119:$H$120,'333'!$H$122,'333'!$H$124,'333'!$H$126:$H$127,'333'!$H$129,'333'!$H$131,'333'!$H$133:$H$135,'333'!$H$137:$H$138,'333'!$H$140:$H$143,'333'!$H$145:$H$146,'333'!$H$148:$H$153,'333'!$H$155,'333'!$H$157,'333'!$H$159,'333'!$H$161</definedName>
    <definedName name="OSRRefH22x_0" localSheetId="74">'405'!$H$24:$H$31,'405'!$H$33:$H$36,'405'!$H$38,'405'!$H$40,'405'!$H$42,'405'!$H$44:$H$45,'405'!$H$47,'405'!$H$49,'405'!$H$51,'405'!$H$53,'405'!$H$55:$H$56,'405'!$H$58:$H$61,'405'!$H$63,'405'!$H$65:$H$72,'405'!$H$74,'405'!$H$76,'405'!$H$78</definedName>
    <definedName name="OSRRefH22x_0" localSheetId="75">'406'!$H$20,'406'!$H$22,'406'!$H$24,'406'!$H$26,'406'!$H$28</definedName>
    <definedName name="OSRRefH22x_0" localSheetId="76">'411'!$H$20:$H$27,'411'!$H$29:$H$33,'411'!$H$35,'411'!$H$37:$H$38,'411'!$H$40,'411'!$H$42,'411'!$H$44,'411'!$H$46,'411'!$H$48,'411'!$H$50:$H$52,'411'!$H$54:$H$56,'411'!$H$58:$H$59,'411'!$H$61,'411'!$H$63:$H$64,'411'!$H$66</definedName>
    <definedName name="OSRRefH22x_0" localSheetId="77">'412'!$H$20,'412'!$H$22,'412'!$H$24:$H$25,'412'!$H$27,'412'!$H$29</definedName>
    <definedName name="OSRRefH22x_0" localSheetId="78">'413'!$H$20:$H$24,'413'!$H$26,'413'!$H$28,'413'!$H$30,'413'!$H$32,'413'!$H$34</definedName>
    <definedName name="OSRRefH22x_0" localSheetId="79">'414'!$H$22,'414'!$H$24,'414'!$H$26,'414'!$H$28,'414'!$H$30,'414'!$H$32:$H$33</definedName>
    <definedName name="OSRRefH22x_0" localSheetId="80">'415'!$H$24:$H$31,'415'!$H$33:$H$37,'415'!$H$39,'415'!$H$41,'415'!$H$43,'415'!$H$45:$H$46,'415'!$H$48,'415'!$H$50,'415'!$H$52,'415'!$H$54,'415'!$H$56,'415'!$H$58:$H$59,'415'!$H$61:$H$64,'415'!$H$66,'415'!$H$68:$H$73,'415'!$H$75,'415'!$H$77,'415'!$H$79</definedName>
    <definedName name="OSRRefH22x_0" localSheetId="81">'418'!$H$21:$H$28,'418'!$H$30:$H$33,'418'!$H$35,'418'!$H$37,'418'!$H$39:$H$40,'418'!$H$42,'418'!$H$44,'418'!$H$46,'418'!$H$48:$H$49,'418'!$H$51,'418'!$H$53,'418'!$H$55:$H$59,'418'!$H$61,'418'!$H$63</definedName>
    <definedName name="OSRRefH22x_0" localSheetId="82">'420'!$H$21</definedName>
    <definedName name="OSRRefH22x_0" localSheetId="83">'423'!$H$20:$H$21,'423'!$H$23,'423'!$H$25,'423'!$H$27</definedName>
    <definedName name="OSRRefH22x_0" localSheetId="84">'424'!$H$20,'424'!$H$22,'424'!$H$24,'424'!$H$26</definedName>
    <definedName name="OSRRefH22x_0" localSheetId="85">'425'!$H$22:$H$26,'425'!$H$28,'425'!$H$30,'425'!$H$32,'425'!$H$34,'425'!$H$36:$H$37,'425'!$H$39,'425'!$H$41,'425'!$H$43</definedName>
    <definedName name="OSRRefH22x_0" localSheetId="88">'430'!$H$20:$H$27,'430'!$H$29,'430'!$H$31,'430'!$H$33,'430'!$H$35,'430'!$H$37:$H$38,'430'!$H$40,'430'!$H$42,'430'!$H$44</definedName>
    <definedName name="OSRRefH22x_0" localSheetId="89">'433'!$H$25:$H$33,'433'!$H$35:$H$39,'433'!$H$41,'433'!$H$43,'433'!$H$45,'433'!$H$47,'433'!$H$49,'433'!$H$51,'433'!$H$53,'433'!$H$55,'433'!$H$57,'433'!$H$59:$H$60,'433'!$H$62:$H$64,'433'!$H$66:$H$73,'433'!$H$75</definedName>
    <definedName name="OSRRefH22x_0" localSheetId="90">'435'!$H$20,'435'!$H$22</definedName>
    <definedName name="OSRRefH22x_0" localSheetId="91">'444'!$H$25:$H$33,'444'!$H$35:$H$40,'444'!$H$42,'444'!$H$44,'444'!$H$46,'444'!$H$48,'444'!$H$50,'444'!$H$52,'444'!$H$54,'444'!$H$56,'444'!$H$58,'444'!$H$60:$H$61,'444'!$H$63:$H$66,'444'!$H$68,'444'!$H$70:$H$77,'444'!$H$79,'444'!$H$81</definedName>
    <definedName name="OSRRefH22x_0" localSheetId="92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3">'491'!$H$27:$H$34,'491'!$H$36:$H$41,'491'!$H$43,'491'!$H$45,'491'!$H$47,'491'!$H$49:$H$50,'491'!$H$52,'491'!$H$54,'491'!$H$56,'491'!$H$58,'491'!$H$60,'491'!$H$62,'491'!$H$64,'491'!$H$66:$H$68,'491'!$H$70,'491'!$H$72:$H$75,'491'!$H$77,'491'!$H$79:$H$87,'491'!$H$89,'491'!$H$91,'491'!$H$93:$H$94,'491'!$H$96</definedName>
    <definedName name="OSRRefH22x_0" localSheetId="87">'492'!$H$25:$H$33,'492'!$H$35:$H$41,'492'!$H$43,'492'!$H$45,'492'!$H$47,'492'!$H$49,'492'!$H$51,'492'!$H$53,'492'!$H$55,'492'!$H$57,'492'!$H$59,'492'!$H$61,'492'!$H$63:$H$65,'492'!$H$67:$H$70,'492'!$H$72,'492'!$H$74:$H$81,'492'!$H$83,'492'!$H$85,'492'!$H$87:$H$88</definedName>
    <definedName name="OSRRefH22x_0" localSheetId="94">'501'!$H$21:$H$29,'501'!$H$31:$H$36,'501'!$H$38,'501'!$H$40,'501'!$H$42:$H$43,'501'!$H$45,'501'!$H$47,'501'!$H$49:$H$52,'501'!$H$54:$H$55,'501'!$H$57,'501'!$H$59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2'!$H$71:$H$72,'Div 2'!$H$74:$H$78,'Div 2'!$H$80:$H$81,'Div 2'!$H$83,'Div 2'!$H$85:$H$86</definedName>
    <definedName name="OSRRefH22x_0" localSheetId="47">'Div 3'!$H$135:$H$144,'Div 3'!$H$146:$H$152,'Div 3'!$H$154,'Div 3'!$H$156:$H$157,'Div 3'!$H$159,'Div 3'!$H$161:$H$162,'Div 3'!$H$164:$H$165,'Div 3'!$H$167,'Div 3'!$H$169,'Div 3'!$H$171,'Div 3'!$H$173:$H$174,'Div 3'!$H$176,'Div 3'!$H$178,'Div 3'!$H$180,'Div 3'!$H$182:$H$183,'Div 3'!$H$185,'Div 3'!$H$187,'Div 3'!$H$189:$H$192,'Div 3'!$H$194:$H$196,'Div 3'!$H$198:$H$202,'Div 3'!$H$204:$H$205,'Div 3'!$H$207:$H$213,'Div 3'!$H$215:$H$216,'Div 3'!$H$218,'Div 3'!$H$220:$H$222,'Div 3'!$H$224</definedName>
    <definedName name="OSRRefH22x_0" localSheetId="71">'Div 4'!$H$28:$H$36,'Div 4'!$H$38:$H$44,'Div 4'!$H$46,'Div 4'!$H$48,'Div 4'!$H$50,'Div 4'!$H$52:$H$53,'Div 4'!$H$55,'Div 4'!$H$57,'Div 4'!$H$59,'Div 4'!$H$61,'Div 4'!$H$63,'Div 4'!$H$65,'Div 4'!$H$67,'Div 4'!$H$69,'Div 4'!$H$71,'Div 4'!$H$73:$H$75,'Div 4'!$H$77,'Div 4'!$H$79:$H$82,'Div 4'!$H$84:$H$85,'Div 4'!$H$87:$H$95,'Div 4'!$H$97,'Div 4'!$H$99,'Div 4'!$H$101:$H$102,'Div 4'!$H$104</definedName>
    <definedName name="OSRRefH22x_0" localSheetId="93">'Div 5'!$H$21:$H$29,'Div 5'!$H$31:$H$36,'Div 5'!$H$38,'Div 5'!$H$40,'Div 5'!$H$42:$H$43,'Div 5'!$H$45,'Div 5'!$H$47,'Div 5'!$H$49:$H$52,'Div 5'!$H$54:$H$55,'Div 5'!$H$57,'Div 5'!$H$59</definedName>
    <definedName name="OSRRefH22x_0" localSheetId="62">'Div 6'!$H$54:$H$62,'Div 6'!$H$64:$H$68,'Div 6'!$H$70,'Div 6'!$H$72,'Div 6'!$H$74,'Div 6'!$H$76:$H$77,'Div 6'!$H$79,'Div 6'!$H$81,'Div 6'!$H$83:$H$85,'Div 6'!$H$87,'Div 6'!$H$89</definedName>
    <definedName name="OSRRefH22x_0" localSheetId="2">Summary!$H$159:$H$168,Summary!$H$170:$H$176,Summary!$H$178,Summary!$H$180:$H$181,Summary!$H$183,Summary!$H$185:$H$186,Summary!$H$188:$H$189,Summary!$H$191,Summary!$H$193,Summary!$H$195,Summary!$H$197:$H$198,Summary!$H$200,Summary!$H$202,Summary!$H$204,Summary!$H$206:$H$207,Summary!$H$209,Summary!$H$211,Summary!$H$213,Summary!$H$215:$H$218,Summary!$H$220:$H$222,Summary!$H$224:$H$228,Summary!$H$230:$H$231,Summary!$H$233:$H$241,Summary!$H$243:$H$244,Summary!$H$246,Summary!$H$248:$H$250,Summary!$H$252</definedName>
    <definedName name="OSRRefH25x_0" localSheetId="48">'300'!$H$217:$H$220</definedName>
    <definedName name="OSRRefH25x_0" localSheetId="49">'300 &amp; 317'!$H$239:$H$244</definedName>
    <definedName name="OSRRefH25x_0" localSheetId="50">'301'!$H$97</definedName>
    <definedName name="OSRRefH25x_0" localSheetId="52">'308'!$H$112:$H$114</definedName>
    <definedName name="OSRRefH25x_0" localSheetId="72">'310 &amp; 491'!$H$111:$H$113</definedName>
    <definedName name="OSRRefH25x_0" localSheetId="53">'311'!$H$112:$H$114</definedName>
    <definedName name="OSRRefH25x_0" localSheetId="58">'315'!$H$144:$H$145</definedName>
    <definedName name="OSRRefH25x_0" localSheetId="61">'316'!$H$77</definedName>
    <definedName name="OSRRefH25x_0" localSheetId="63">'317'!$H$92:$H$94</definedName>
    <definedName name="OSRRefH25x_0" localSheetId="55">'331'!$H$161:$H$162</definedName>
    <definedName name="OSRRefH25x_0" localSheetId="60">'332'!$H$79:$H$80</definedName>
    <definedName name="OSRRefH25x_0" localSheetId="57">'333'!$H$164:$H$165</definedName>
    <definedName name="OSRRefH25x_0" localSheetId="74">'405'!$H$81</definedName>
    <definedName name="OSRRefH25x_0" localSheetId="76">'411'!$H$69:$H$70</definedName>
    <definedName name="OSRRefH25x_0" localSheetId="80">'415'!$H$82</definedName>
    <definedName name="OSRRefH25x_0" localSheetId="81">'418'!$H$66</definedName>
    <definedName name="OSRRefH25x_0" localSheetId="83">'423'!$H$30</definedName>
    <definedName name="OSRRefH25x_0" localSheetId="86">'455'!$H$21:$H$22</definedName>
    <definedName name="OSRRefH25x_0" localSheetId="73">'491'!$H$99:$H$101</definedName>
    <definedName name="OSRRefH25x_0" localSheetId="94">'501'!$H$62</definedName>
    <definedName name="OSRRefH25x_0" localSheetId="47">'Div 3'!$H$227:$H$230</definedName>
    <definedName name="OSRRefH25x_0" localSheetId="71">'Div 4'!$H$107:$H$109</definedName>
    <definedName name="OSRRefH25x_0" localSheetId="93">'Div 5'!$H$62</definedName>
    <definedName name="OSRRefH25x_0" localSheetId="62">'Div 6'!$H$92:$H$94</definedName>
    <definedName name="OSRRefH25x_0" localSheetId="2">Summary!$H$255:$H$262</definedName>
    <definedName name="OSRRefP13x_0" localSheetId="48">'300'!$P$13:$P$79</definedName>
    <definedName name="OSRRefP13x_0" localSheetId="49">'300 &amp; 317'!$P$13:$P$93</definedName>
    <definedName name="OSRRefP13x_0" localSheetId="56">'307'!$P$13:$P$25</definedName>
    <definedName name="OSRRefP13x_0" localSheetId="52">'308'!$P$13:$P$37</definedName>
    <definedName name="OSRRefP13x_0" localSheetId="65">'309'!$P$13:$P$16</definedName>
    <definedName name="OSRRefP13x_0" localSheetId="64">'310'!$P$13:$P$23</definedName>
    <definedName name="OSRRefP13x_0" localSheetId="72">'310 &amp; 491'!$P$13:$P$25</definedName>
    <definedName name="OSRRefP13x_0" localSheetId="53">'311'!$P$13:$P$37</definedName>
    <definedName name="OSRRefP13x_0" localSheetId="66">'313'!$P$13:$P$16</definedName>
    <definedName name="OSRRefP13x_0" localSheetId="58">'315'!$P$13:$P$54</definedName>
    <definedName name="OSRRefP13x_0" localSheetId="61">'316'!$P$13:$P$25</definedName>
    <definedName name="OSRRefP13x_0" localSheetId="63">'317'!$P$13:$P$33</definedName>
    <definedName name="OSRRefP13x_0" localSheetId="67">'321'!$P$13:$P$16</definedName>
    <definedName name="OSRRefP13x_0" localSheetId="54">'324'!$P$13:$P$16</definedName>
    <definedName name="OSRRefP13x_0" localSheetId="69">'325'!$P$13:$P$14</definedName>
    <definedName name="OSRRefP13x_0" localSheetId="59">'326'!$P$13:$P$36</definedName>
    <definedName name="OSRRefP13x_0" localSheetId="70">'327'!$P$13:$P$14</definedName>
    <definedName name="OSRRefP13x_0" localSheetId="55">'331'!$P$13:$P$54</definedName>
    <definedName name="OSRRefP13x_0" localSheetId="60">'332'!$P$13:$P$25</definedName>
    <definedName name="OSRRefP13x_0" localSheetId="57">'333'!$P$13:$P$56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2">'420'!$P$13</definedName>
    <definedName name="OSRRefP13x_0" localSheetId="85">'425'!$P$13</definedName>
    <definedName name="OSRRefP13x_0" localSheetId="89">'433'!$P$13:$P$15</definedName>
    <definedName name="OSRRefP13x_0" localSheetId="91">'444'!$P$13:$P$15</definedName>
    <definedName name="OSRRefP13x_0" localSheetId="92">'450'!$P$13:$P$15</definedName>
    <definedName name="OSRRefP13x_0" localSheetId="73">'491'!$P$13:$P$17</definedName>
    <definedName name="OSRRefP13x_0" localSheetId="87">'492'!$P$13:$P$15</definedName>
    <definedName name="OSRRefP13x_0" localSheetId="94">'501'!$P$13</definedName>
    <definedName name="OSRRefP13x_0" localSheetId="47">'Div 3'!$P$13:$P$84</definedName>
    <definedName name="OSRRefP13x_0" localSheetId="71">'Div 4'!$P$13:$P$18</definedName>
    <definedName name="OSRRefP13x_0" localSheetId="93">'Div 5'!$P$13</definedName>
    <definedName name="OSRRefP13x_0" localSheetId="62">'Div 6'!$P$13:$P$33</definedName>
    <definedName name="OSRRefP13x_0" localSheetId="2">Summary!$P$13:$P$100</definedName>
    <definedName name="OSRRefP16x_0" localSheetId="48">'300'!$P$82:$P$122</definedName>
    <definedName name="OSRRefP16x_0" localSheetId="49">'300 &amp; 317'!$P$96:$P$144</definedName>
    <definedName name="OSRRefP16x_0" localSheetId="50">'301'!$P$15</definedName>
    <definedName name="OSRRefP16x_0" localSheetId="56">'307'!$P$28:$P$37</definedName>
    <definedName name="OSRRefP16x_0" localSheetId="52">'308'!$P$40:$P$56</definedName>
    <definedName name="OSRRefP16x_0" localSheetId="65">'309'!$P$19:$P$20</definedName>
    <definedName name="OSRRefP16x_0" localSheetId="64">'310'!$P$26:$P$28</definedName>
    <definedName name="OSRRefP16x_0" localSheetId="72">'310 &amp; 491'!$P$28:$P$30</definedName>
    <definedName name="OSRRefP16x_0" localSheetId="53">'311'!$P$40:$P$56</definedName>
    <definedName name="OSRRefP16x_0" localSheetId="66">'313'!$P$19</definedName>
    <definedName name="OSRRefP16x_0" localSheetId="58">'315'!$P$57:$P$81</definedName>
    <definedName name="OSRRefP16x_0" localSheetId="61">'316'!$P$28</definedName>
    <definedName name="OSRRefP16x_0" localSheetId="63">'317'!$P$36:$P$48</definedName>
    <definedName name="OSRRefP16x_0" localSheetId="67">'321'!$P$19:$P$21</definedName>
    <definedName name="OSRRefP16x_0" localSheetId="68">'322'!$P$15</definedName>
    <definedName name="OSRRefP16x_0" localSheetId="54">'324'!$P$19:$P$21</definedName>
    <definedName name="OSRRefP16x_0" localSheetId="69">'325'!$P$17:$P$18</definedName>
    <definedName name="OSRRefP16x_0" localSheetId="59">'326'!$P$39:$P$46</definedName>
    <definedName name="OSRRefP16x_0" localSheetId="70">'327'!$P$17:$P$18</definedName>
    <definedName name="OSRRefP16x_0" localSheetId="55">'331'!$P$57:$P$82</definedName>
    <definedName name="OSRRefP16x_0" localSheetId="60">'332'!$P$28:$P$30</definedName>
    <definedName name="OSRRefP16x_0" localSheetId="57">'333'!$P$59:$P$84</definedName>
    <definedName name="OSRRefP16x_0" localSheetId="74">'405'!$P$17:$P$18</definedName>
    <definedName name="OSRRefP16x_0" localSheetId="79">'414'!$P$16</definedName>
    <definedName name="OSRRefP16x_0" localSheetId="80">'415'!$P$17:$P$18</definedName>
    <definedName name="OSRRefP16x_0" localSheetId="81">'418'!$P$15</definedName>
    <definedName name="OSRRefP16x_0" localSheetId="85">'425'!$P$16</definedName>
    <definedName name="OSRRefP16x_0" localSheetId="89">'433'!$P$18:$P$19</definedName>
    <definedName name="OSRRefP16x_0" localSheetId="91">'444'!$P$18:$P$19</definedName>
    <definedName name="OSRRefP16x_0" localSheetId="92">'450'!$P$18:$P$19</definedName>
    <definedName name="OSRRefP16x_0" localSheetId="73">'491'!$P$20:$P$21</definedName>
    <definedName name="OSRRefP16x_0" localSheetId="87">'492'!$P$18:$P$19</definedName>
    <definedName name="OSRRefP16x_0" localSheetId="47">'Div 3'!$P$87:$P$129</definedName>
    <definedName name="OSRRefP16x_0" localSheetId="71">'Div 4'!$P$21:$P$22</definedName>
    <definedName name="OSRRefP16x_0" localSheetId="62">'Div 6'!$P$36:$P$48</definedName>
    <definedName name="OSRRefP16x_0" localSheetId="2">Summary!$P$103:$P$153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'300'!$P$128:$P$137</definedName>
    <definedName name="OSRRefP22_0x_0" localSheetId="49">'300 &amp; 317'!$P$150:$P$159</definedName>
    <definedName name="OSRRefP22_0x_0" localSheetId="50">'301'!$P$21:$P$30</definedName>
    <definedName name="OSRRefP22_0x_0" localSheetId="51">'306'!$P$20:$P$23</definedName>
    <definedName name="OSRRefP22_0x_0" localSheetId="56">'307'!$P$43:$P$45</definedName>
    <definedName name="OSRRefP22_0x_0" localSheetId="52">'308'!$P$62:$P$70</definedName>
    <definedName name="OSRRefP22_0x_0" localSheetId="65">'309'!$P$26:$P$27</definedName>
    <definedName name="OSRRefP22_0x_0" localSheetId="64">'310'!$P$34:$P$42</definedName>
    <definedName name="OSRRefP22_0x_0" localSheetId="72">'310 &amp; 491'!$P$36:$P$44</definedName>
    <definedName name="OSRRefP22_0x_0" localSheetId="53">'311'!$P$62:$P$70</definedName>
    <definedName name="OSRRefP22_0x_0" localSheetId="66">'313'!$P$25:$P$32</definedName>
    <definedName name="OSRRefP22_0x_0" localSheetId="58">'315'!$P$87:$P$94</definedName>
    <definedName name="OSRRefP22_0x_0" localSheetId="61">'316'!$P$34:$P$41</definedName>
    <definedName name="OSRRefP22_0x_0" localSheetId="63">'317'!$P$54:$P$62</definedName>
    <definedName name="OSRRefP22_0x_0" localSheetId="67">'321'!$P$27:$P$35</definedName>
    <definedName name="OSRRefP22_0x_0" localSheetId="68">'322'!$P$21:$P$25</definedName>
    <definedName name="OSRRefP22_0x_0" localSheetId="69">'325'!$P$24:$P$31</definedName>
    <definedName name="OSRRefP22_0x_0" localSheetId="59">'326'!$P$52:$P$59</definedName>
    <definedName name="OSRRefP22_0x_0" localSheetId="70">'327'!$P$24</definedName>
    <definedName name="OSRRefP22_0x_0" localSheetId="55">'331'!$P$88:$P$95</definedName>
    <definedName name="OSRRefP22_0x_0" localSheetId="60">'332'!$P$36:$P$43</definedName>
    <definedName name="OSRRefP22_0x_0" localSheetId="57">'333'!$P$90:$P$97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'414'!$P$22</definedName>
    <definedName name="OSRRefP22_0x_0" localSheetId="80">'415'!$P$24:$P$31</definedName>
    <definedName name="OSRRefP22_0x_0" localSheetId="81">'418'!$P$21:$P$28</definedName>
    <definedName name="OSRRefP22_0x_0" localSheetId="82">'420'!$P$21</definedName>
    <definedName name="OSRRefP22_0x_0" localSheetId="83">'423'!$P$20:$P$21</definedName>
    <definedName name="OSRRefP22_0x_0" localSheetId="84">'424'!$P$20</definedName>
    <definedName name="OSRRefP22_0x_0" localSheetId="85">'425'!$P$22:$P$26</definedName>
    <definedName name="OSRRefP22_0x_0" localSheetId="88">'430'!$P$20:$P$27</definedName>
    <definedName name="OSRRefP22_0x_0" localSheetId="89">'433'!$P$25:$P$33</definedName>
    <definedName name="OSRRefP22_0x_0" localSheetId="90">'435'!$P$20</definedName>
    <definedName name="OSRRefP22_0x_0" localSheetId="91">'444'!$P$25:$P$33</definedName>
    <definedName name="OSRRefP22_0x_0" localSheetId="92">'450'!$P$25:$P$33</definedName>
    <definedName name="OSRRefP22_0x_0" localSheetId="73">'491'!$P$27:$P$34</definedName>
    <definedName name="OSRRefP22_0x_0" localSheetId="87">'492'!$P$25:$P$33</definedName>
    <definedName name="OSRRefP22_0x_0" localSheetId="94">'501'!$P$21:$P$29</definedName>
    <definedName name="OSRRefP22_0x_0" localSheetId="39">'Div 2'!$P$20:$P$30</definedName>
    <definedName name="OSRRefP22_0x_0" localSheetId="47">'Div 3'!$P$135:$P$144</definedName>
    <definedName name="OSRRefP22_0x_0" localSheetId="71">'Div 4'!$P$28:$P$36</definedName>
    <definedName name="OSRRefP22_0x_0" localSheetId="93">'Div 5'!$P$21:$P$29</definedName>
    <definedName name="OSRRefP22_0x_0" localSheetId="62">'Div 6'!$P$54:$P$62</definedName>
    <definedName name="OSRRefP22_0x_0" localSheetId="2">Summary!$P$159:$P$168</definedName>
    <definedName name="OSRRefP22_10x_0" localSheetId="41">'201'!$P$52:$P$53</definedName>
    <definedName name="OSRRefP22_10x_0" localSheetId="42">'202'!$P$53</definedName>
    <definedName name="OSRRefP22_10x_0" localSheetId="43">'203'!$P$56:$P$59</definedName>
    <definedName name="OSRRefP22_10x_0" localSheetId="48">'300'!$P$166:$P$167</definedName>
    <definedName name="OSRRefP22_10x_0" localSheetId="49">'300 &amp; 317'!$P$188:$P$189</definedName>
    <definedName name="OSRRefP22_10x_0" localSheetId="50">'301'!$P$59</definedName>
    <definedName name="OSRRefP22_10x_0" localSheetId="56">'307'!$P$71</definedName>
    <definedName name="OSRRefP22_10x_0" localSheetId="52">'308'!$P$100:$P$101</definedName>
    <definedName name="OSRRefP22_10x_0" localSheetId="65">'309'!$P$50:$P$51</definedName>
    <definedName name="OSRRefP22_10x_0" localSheetId="64">'310'!$P$68</definedName>
    <definedName name="OSRRefP22_10x_0" localSheetId="72">'310 &amp; 491'!$P$72</definedName>
    <definedName name="OSRRefP22_10x_0" localSheetId="53">'311'!$P$100:$P$101</definedName>
    <definedName name="OSRRefP22_10x_0" localSheetId="58">'315'!$P$122:$P$123</definedName>
    <definedName name="OSRRefP22_10x_0" localSheetId="61">'316'!$P$66:$P$70</definedName>
    <definedName name="OSRRefP22_10x_0" localSheetId="63">'317'!$P$89</definedName>
    <definedName name="OSRRefP22_10x_0" localSheetId="67">'321'!$P$62:$P$66</definedName>
    <definedName name="OSRRefP22_10x_0" localSheetId="69">'325'!$P$54:$P$55</definedName>
    <definedName name="OSRRefP22_10x_0" localSheetId="59">'326'!$P$84</definedName>
    <definedName name="OSRRefP22_10x_0" localSheetId="55">'331'!$P$122</definedName>
    <definedName name="OSRRefP22_10x_0" localSheetId="60">'332'!$P$68:$P$72</definedName>
    <definedName name="OSRRefP22_10x_0" localSheetId="57">'333'!$P$124</definedName>
    <definedName name="OSRRefP22_10x_0" localSheetId="74">'405'!$P$55:$P$56</definedName>
    <definedName name="OSRRefP22_10x_0" localSheetId="76">'411'!$P$54:$P$56</definedName>
    <definedName name="OSRRefP22_10x_0" localSheetId="80">'415'!$P$56</definedName>
    <definedName name="OSRRefP22_10x_0" localSheetId="81">'418'!$P$53</definedName>
    <definedName name="OSRRefP22_10x_0" localSheetId="89">'433'!$P$57</definedName>
    <definedName name="OSRRefP22_10x_0" localSheetId="91">'444'!$P$58</definedName>
    <definedName name="OSRRefP22_10x_0" localSheetId="92">'450'!$P$57</definedName>
    <definedName name="OSRRefP22_10x_0" localSheetId="73">'491'!$P$60</definedName>
    <definedName name="OSRRefP22_10x_0" localSheetId="87">'492'!$P$59</definedName>
    <definedName name="OSRRefP22_10x_0" localSheetId="94">'501'!$P$59</definedName>
    <definedName name="OSRRefP22_10x_0" localSheetId="39">'Div 2'!$P$56</definedName>
    <definedName name="OSRRefP22_10x_0" localSheetId="47">'Div 3'!$P$173:$P$174</definedName>
    <definedName name="OSRRefP22_10x_0" localSheetId="71">'Div 4'!$P$63</definedName>
    <definedName name="OSRRefP22_10x_0" localSheetId="93">'Div 5'!$P$59</definedName>
    <definedName name="OSRRefP22_10x_0" localSheetId="62">'Div 6'!$P$89</definedName>
    <definedName name="OSRRefP22_10x_0" localSheetId="2">Summary!$P$197:$P$198</definedName>
    <definedName name="OSRRefP22_11x_0" localSheetId="41">'201'!$P$55</definedName>
    <definedName name="OSRRefP22_11x_0" localSheetId="42">'202'!$P$55</definedName>
    <definedName name="OSRRefP22_11x_0" localSheetId="43">'203'!$P$61</definedName>
    <definedName name="OSRRefP22_11x_0" localSheetId="48">'300'!$P$169</definedName>
    <definedName name="OSRRefP22_11x_0" localSheetId="49">'300 &amp; 317'!$P$191</definedName>
    <definedName name="OSRRefP22_11x_0" localSheetId="50">'301'!$P$61</definedName>
    <definedName name="OSRRefP22_11x_0" localSheetId="56">'307'!$P$73:$P$76</definedName>
    <definedName name="OSRRefP22_11x_0" localSheetId="52">'308'!$P$103:$P$104</definedName>
    <definedName name="OSRRefP22_11x_0" localSheetId="65">'309'!$P$53</definedName>
    <definedName name="OSRRefP22_11x_0" localSheetId="64">'310'!$P$70:$P$71</definedName>
    <definedName name="OSRRefP22_11x_0" localSheetId="72">'310 &amp; 491'!$P$74</definedName>
    <definedName name="OSRRefP22_11x_0" localSheetId="53">'311'!$P$103:$P$104</definedName>
    <definedName name="OSRRefP22_11x_0" localSheetId="58">'315'!$P$125:$P$126</definedName>
    <definedName name="OSRRefP22_11x_0" localSheetId="61">'316'!$P$72</definedName>
    <definedName name="OSRRefP22_11x_0" localSheetId="67">'321'!$P$68</definedName>
    <definedName name="OSRRefP22_11x_0" localSheetId="69">'325'!$P$57:$P$60</definedName>
    <definedName name="OSRRefP22_11x_0" localSheetId="59">'326'!$P$86:$P$88</definedName>
    <definedName name="OSRRefP22_11x_0" localSheetId="55">'331'!$P$124:$P$125</definedName>
    <definedName name="OSRRefP22_11x_0" localSheetId="60">'332'!$P$74</definedName>
    <definedName name="OSRRefP22_11x_0" localSheetId="57">'333'!$P$126:$P$127</definedName>
    <definedName name="OSRRefP22_11x_0" localSheetId="74">'405'!$P$58:$P$61</definedName>
    <definedName name="OSRRefP22_11x_0" localSheetId="76">'411'!$P$58:$P$59</definedName>
    <definedName name="OSRRefP22_11x_0" localSheetId="80">'415'!$P$58:$P$59</definedName>
    <definedName name="OSRRefP22_11x_0" localSheetId="81">'418'!$P$55:$P$59</definedName>
    <definedName name="OSRRefP22_11x_0" localSheetId="89">'433'!$P$59:$P$60</definedName>
    <definedName name="OSRRefP22_11x_0" localSheetId="91">'444'!$P$60:$P$61</definedName>
    <definedName name="OSRRefP22_11x_0" localSheetId="92">'450'!$P$59</definedName>
    <definedName name="OSRRefP22_11x_0" localSheetId="73">'491'!$P$62</definedName>
    <definedName name="OSRRefP22_11x_0" localSheetId="87">'492'!$P$61</definedName>
    <definedName name="OSRRefP22_11x_0" localSheetId="39">'Div 2'!$P$58</definedName>
    <definedName name="OSRRefP22_11x_0" localSheetId="47">'Div 3'!$P$176</definedName>
    <definedName name="OSRRefP22_11x_0" localSheetId="71">'Div 4'!$P$65</definedName>
    <definedName name="OSRRefP22_11x_0" localSheetId="2">Summary!$P$200</definedName>
    <definedName name="OSRRefP22_12x_0" localSheetId="41">'201'!$P$57:$P$58</definedName>
    <definedName name="OSRRefP22_12x_0" localSheetId="42">'202'!$P$57</definedName>
    <definedName name="OSRRefP22_12x_0" localSheetId="43">'203'!$P$63</definedName>
    <definedName name="OSRRefP22_12x_0" localSheetId="48">'300'!$P$171</definedName>
    <definedName name="OSRRefP22_12x_0" localSheetId="49">'300 &amp; 317'!$P$193</definedName>
    <definedName name="OSRRefP22_12x_0" localSheetId="50">'301'!$P$63</definedName>
    <definedName name="OSRRefP22_12x_0" localSheetId="56">'307'!$P$78</definedName>
    <definedName name="OSRRefP22_12x_0" localSheetId="52">'308'!$P$106:$P$107</definedName>
    <definedName name="OSRRefP22_12x_0" localSheetId="65">'309'!$P$55</definedName>
    <definedName name="OSRRefP22_12x_0" localSheetId="64">'310'!$P$73</definedName>
    <definedName name="OSRRefP22_12x_0" localSheetId="72">'310 &amp; 491'!$P$76</definedName>
    <definedName name="OSRRefP22_12x_0" localSheetId="53">'311'!$P$106:$P$107</definedName>
    <definedName name="OSRRefP22_12x_0" localSheetId="58">'315'!$P$128:$P$129</definedName>
    <definedName name="OSRRefP22_12x_0" localSheetId="61">'316'!$P$74</definedName>
    <definedName name="OSRRefP22_12x_0" localSheetId="67">'321'!$P$70</definedName>
    <definedName name="OSRRefP22_12x_0" localSheetId="69">'325'!$P$62:$P$66</definedName>
    <definedName name="OSRRefP22_12x_0" localSheetId="59">'326'!$P$90:$P$92</definedName>
    <definedName name="OSRRefP22_12x_0" localSheetId="55">'331'!$P$127</definedName>
    <definedName name="OSRRefP22_12x_0" localSheetId="60">'332'!$P$76</definedName>
    <definedName name="OSRRefP22_12x_0" localSheetId="57">'333'!$P$129</definedName>
    <definedName name="OSRRefP22_12x_0" localSheetId="74">'405'!$P$63</definedName>
    <definedName name="OSRRefP22_12x_0" localSheetId="76">'411'!$P$61</definedName>
    <definedName name="OSRRefP22_12x_0" localSheetId="80">'415'!$P$61:$P$64</definedName>
    <definedName name="OSRRefP22_12x_0" localSheetId="81">'418'!$P$61</definedName>
    <definedName name="OSRRefP22_12x_0" localSheetId="89">'433'!$P$62:$P$64</definedName>
    <definedName name="OSRRefP22_12x_0" localSheetId="91">'444'!$P$63:$P$66</definedName>
    <definedName name="OSRRefP22_12x_0" localSheetId="92">'450'!$P$61:$P$62</definedName>
    <definedName name="OSRRefP22_12x_0" localSheetId="73">'491'!$P$64</definedName>
    <definedName name="OSRRefP22_12x_0" localSheetId="87">'492'!$P$63:$P$65</definedName>
    <definedName name="OSRRefP22_12x_0" localSheetId="39">'Div 2'!$P$60:$P$62</definedName>
    <definedName name="OSRRefP22_12x_0" localSheetId="47">'Div 3'!$P$178</definedName>
    <definedName name="OSRRefP22_12x_0" localSheetId="71">'Div 4'!$P$67</definedName>
    <definedName name="OSRRefP22_12x_0" localSheetId="2">Summary!$P$202</definedName>
    <definedName name="OSRRefP22_13x_0" localSheetId="41">'201'!$P$60</definedName>
    <definedName name="OSRRefP22_13x_0" localSheetId="43">'203'!$P$65</definedName>
    <definedName name="OSRRefP22_13x_0" localSheetId="48">'300'!$P$173:$P$174</definedName>
    <definedName name="OSRRefP22_13x_0" localSheetId="49">'300 &amp; 317'!$P$195:$P$196</definedName>
    <definedName name="OSRRefP22_13x_0" localSheetId="50">'301'!$P$65</definedName>
    <definedName name="OSRRefP22_13x_0" localSheetId="56">'307'!$P$80</definedName>
    <definedName name="OSRRefP22_13x_0" localSheetId="52">'308'!$P$109</definedName>
    <definedName name="OSRRefP22_13x_0" localSheetId="64">'310'!$P$75:$P$78</definedName>
    <definedName name="OSRRefP22_13x_0" localSheetId="72">'310 &amp; 491'!$P$78:$P$80</definedName>
    <definedName name="OSRRefP22_13x_0" localSheetId="53">'311'!$P$109</definedName>
    <definedName name="OSRRefP22_13x_0" localSheetId="58">'315'!$P$131:$P$135</definedName>
    <definedName name="OSRRefP22_13x_0" localSheetId="67">'321'!$P$72</definedName>
    <definedName name="OSRRefP22_13x_0" localSheetId="69">'325'!$P$68</definedName>
    <definedName name="OSRRefP22_13x_0" localSheetId="59">'326'!$P$94:$P$95</definedName>
    <definedName name="OSRRefP22_13x_0" localSheetId="55">'331'!$P$129</definedName>
    <definedName name="OSRRefP22_13x_0" localSheetId="57">'333'!$P$131</definedName>
    <definedName name="OSRRefP22_13x_0" localSheetId="74">'405'!$P$65:$P$72</definedName>
    <definedName name="OSRRefP22_13x_0" localSheetId="76">'411'!$P$63:$P$64</definedName>
    <definedName name="OSRRefP22_13x_0" localSheetId="80">'415'!$P$66</definedName>
    <definedName name="OSRRefP22_13x_0" localSheetId="81">'418'!$P$63</definedName>
    <definedName name="OSRRefP22_13x_0" localSheetId="89">'433'!$P$66:$P$73</definedName>
    <definedName name="OSRRefP22_13x_0" localSheetId="91">'444'!$P$68</definedName>
    <definedName name="OSRRefP22_13x_0" localSheetId="92">'450'!$P$64:$P$66</definedName>
    <definedName name="OSRRefP22_13x_0" localSheetId="73">'491'!$P$66:$P$68</definedName>
    <definedName name="OSRRefP22_13x_0" localSheetId="87">'492'!$P$67:$P$70</definedName>
    <definedName name="OSRRefP22_13x_0" localSheetId="39">'Div 2'!$P$64:$P$67</definedName>
    <definedName name="OSRRefP22_13x_0" localSheetId="47">'Div 3'!$P$180</definedName>
    <definedName name="OSRRefP22_13x_0" localSheetId="71">'Div 4'!$P$69</definedName>
    <definedName name="OSRRefP22_13x_0" localSheetId="2">Summary!$P$204</definedName>
    <definedName name="OSRRefP22_14x_0" localSheetId="41">'201'!$P$62</definedName>
    <definedName name="OSRRefP22_14x_0" localSheetId="48">'300'!$P$176</definedName>
    <definedName name="OSRRefP22_14x_0" localSheetId="49">'300 &amp; 317'!$P$198</definedName>
    <definedName name="OSRRefP22_14x_0" localSheetId="50">'301'!$P$67</definedName>
    <definedName name="OSRRefP22_14x_0" localSheetId="64">'310'!$P$80:$P$85</definedName>
    <definedName name="OSRRefP22_14x_0" localSheetId="72">'310 &amp; 491'!$P$82</definedName>
    <definedName name="OSRRefP22_14x_0" localSheetId="58">'315'!$P$137</definedName>
    <definedName name="OSRRefP22_14x_0" localSheetId="69">'325'!$P$70</definedName>
    <definedName name="OSRRefP22_14x_0" localSheetId="59">'326'!$P$97:$P$100</definedName>
    <definedName name="OSRRefP22_14x_0" localSheetId="55">'331'!$P$131:$P$133</definedName>
    <definedName name="OSRRefP22_14x_0" localSheetId="57">'333'!$P$133:$P$135</definedName>
    <definedName name="OSRRefP22_14x_0" localSheetId="74">'405'!$P$74</definedName>
    <definedName name="OSRRefP22_14x_0" localSheetId="76">'411'!$P$66</definedName>
    <definedName name="OSRRefP22_14x_0" localSheetId="80">'415'!$P$68:$P$73</definedName>
    <definedName name="OSRRefP22_14x_0" localSheetId="89">'433'!$P$75</definedName>
    <definedName name="OSRRefP22_14x_0" localSheetId="91">'444'!$P$70:$P$77</definedName>
    <definedName name="OSRRefP22_14x_0" localSheetId="92">'450'!$P$68:$P$73</definedName>
    <definedName name="OSRRefP22_14x_0" localSheetId="73">'491'!$P$70</definedName>
    <definedName name="OSRRefP22_14x_0" localSheetId="87">'492'!$P$72</definedName>
    <definedName name="OSRRefP22_14x_0" localSheetId="39">'Div 2'!$P$69</definedName>
    <definedName name="OSRRefP22_14x_0" localSheetId="47">'Div 3'!$P$182:$P$183</definedName>
    <definedName name="OSRRefP22_14x_0" localSheetId="71">'Div 4'!$P$71</definedName>
    <definedName name="OSRRefP22_14x_0" localSheetId="2">Summary!$P$206:$P$207</definedName>
    <definedName name="OSRRefP22_15x_0" localSheetId="48">'300'!$P$178</definedName>
    <definedName name="OSRRefP22_15x_0" localSheetId="49">'300 &amp; 317'!$P$200</definedName>
    <definedName name="OSRRefP22_15x_0" localSheetId="50">'301'!$P$69:$P$72</definedName>
    <definedName name="OSRRefP22_15x_0" localSheetId="64">'310'!$P$87</definedName>
    <definedName name="OSRRefP22_15x_0" localSheetId="72">'310 &amp; 491'!$P$84:$P$87</definedName>
    <definedName name="OSRRefP22_15x_0" localSheetId="58">'315'!$P$139</definedName>
    <definedName name="OSRRefP22_15x_0" localSheetId="69">'325'!$P$72</definedName>
    <definedName name="OSRRefP22_15x_0" localSheetId="59">'326'!$P$102</definedName>
    <definedName name="OSRRefP22_15x_0" localSheetId="55">'331'!$P$135:$P$136</definedName>
    <definedName name="OSRRefP22_15x_0" localSheetId="57">'333'!$P$137:$P$138</definedName>
    <definedName name="OSRRefP22_15x_0" localSheetId="74">'405'!$P$76</definedName>
    <definedName name="OSRRefP22_15x_0" localSheetId="80">'415'!$P$75</definedName>
    <definedName name="OSRRefP22_15x_0" localSheetId="91">'444'!$P$79</definedName>
    <definedName name="OSRRefP22_15x_0" localSheetId="92">'450'!$P$75</definedName>
    <definedName name="OSRRefP22_15x_0" localSheetId="73">'491'!$P$72:$P$75</definedName>
    <definedName name="OSRRefP22_15x_0" localSheetId="87">'492'!$P$74:$P$81</definedName>
    <definedName name="OSRRefP22_15x_0" localSheetId="39">'Div 2'!$P$71:$P$72</definedName>
    <definedName name="OSRRefP22_15x_0" localSheetId="47">'Div 3'!$P$185</definedName>
    <definedName name="OSRRefP22_15x_0" localSheetId="71">'Div 4'!$P$73:$P$75</definedName>
    <definedName name="OSRRefP22_15x_0" localSheetId="2">Summary!$P$209</definedName>
    <definedName name="OSRRefP22_16x_0" localSheetId="48">'300'!$P$180:$P$183</definedName>
    <definedName name="OSRRefP22_16x_0" localSheetId="49">'300 &amp; 317'!$P$202:$P$205</definedName>
    <definedName name="OSRRefP22_16x_0" localSheetId="50">'301'!$P$74:$P$76</definedName>
    <definedName name="OSRRefP22_16x_0" localSheetId="64">'310'!$P$89</definedName>
    <definedName name="OSRRefP22_16x_0" localSheetId="72">'310 &amp; 491'!$P$89</definedName>
    <definedName name="OSRRefP22_16x_0" localSheetId="58">'315'!$P$141</definedName>
    <definedName name="OSRRefP22_16x_0" localSheetId="59">'326'!$P$104</definedName>
    <definedName name="OSRRefP22_16x_0" localSheetId="55">'331'!$P$138:$P$140</definedName>
    <definedName name="OSRRefP22_16x_0" localSheetId="57">'333'!$P$140:$P$143</definedName>
    <definedName name="OSRRefP22_16x_0" localSheetId="74">'405'!$P$78</definedName>
    <definedName name="OSRRefP22_16x_0" localSheetId="80">'415'!$P$77</definedName>
    <definedName name="OSRRefP22_16x_0" localSheetId="91">'444'!$P$81</definedName>
    <definedName name="OSRRefP22_16x_0" localSheetId="92">'450'!$P$77</definedName>
    <definedName name="OSRRefP22_16x_0" localSheetId="73">'491'!$P$77</definedName>
    <definedName name="OSRRefP22_16x_0" localSheetId="87">'492'!$P$83</definedName>
    <definedName name="OSRRefP22_16x_0" localSheetId="39">'Div 2'!$P$74:$P$78</definedName>
    <definedName name="OSRRefP22_16x_0" localSheetId="47">'Div 3'!$P$187</definedName>
    <definedName name="OSRRefP22_16x_0" localSheetId="71">'Div 4'!$P$77</definedName>
    <definedName name="OSRRefP22_16x_0" localSheetId="2">Summary!$P$211</definedName>
    <definedName name="OSRRefP22_17x_0" localSheetId="48">'300'!$P$185:$P$187</definedName>
    <definedName name="OSRRefP22_17x_0" localSheetId="49">'300 &amp; 317'!$P$207:$P$209</definedName>
    <definedName name="OSRRefP22_17x_0" localSheetId="50">'301'!$P$78</definedName>
    <definedName name="OSRRefP22_17x_0" localSheetId="64">'310'!$P$91</definedName>
    <definedName name="OSRRefP22_17x_0" localSheetId="72">'310 &amp; 491'!$P$91:$P$99</definedName>
    <definedName name="OSRRefP22_17x_0" localSheetId="59">'326'!$P$106</definedName>
    <definedName name="OSRRefP22_17x_0" localSheetId="55">'331'!$P$142:$P$143</definedName>
    <definedName name="OSRRefP22_17x_0" localSheetId="57">'333'!$P$145:$P$146</definedName>
    <definedName name="OSRRefP22_17x_0" localSheetId="80">'415'!$P$79</definedName>
    <definedName name="OSRRefP22_17x_0" localSheetId="73">'491'!$P$79:$P$87</definedName>
    <definedName name="OSRRefP22_17x_0" localSheetId="87">'492'!$P$85</definedName>
    <definedName name="OSRRefP22_17x_0" localSheetId="39">'Div 2'!$P$80:$P$81</definedName>
    <definedName name="OSRRefP22_17x_0" localSheetId="47">'Div 3'!$P$189:$P$192</definedName>
    <definedName name="OSRRefP22_17x_0" localSheetId="71">'Div 4'!$P$79:$P$82</definedName>
    <definedName name="OSRRefP22_17x_0" localSheetId="2">Summary!$P$213</definedName>
    <definedName name="OSRRefP22_18x_0" localSheetId="48">'300'!$P$189:$P$192</definedName>
    <definedName name="OSRRefP22_18x_0" localSheetId="49">'300 &amp; 317'!$P$211:$P$214</definedName>
    <definedName name="OSRRefP22_18x_0" localSheetId="50">'301'!$P$80:$P$85</definedName>
    <definedName name="OSRRefP22_18x_0" localSheetId="72">'310 &amp; 491'!$P$101</definedName>
    <definedName name="OSRRefP22_18x_0" localSheetId="55">'331'!$P$145:$P$150</definedName>
    <definedName name="OSRRefP22_18x_0" localSheetId="57">'333'!$P$148:$P$153</definedName>
    <definedName name="OSRRefP22_18x_0" localSheetId="73">'491'!$P$89</definedName>
    <definedName name="OSRRefP22_18x_0" localSheetId="87">'492'!$P$87:$P$88</definedName>
    <definedName name="OSRRefP22_18x_0" localSheetId="39">'Div 2'!$P$83</definedName>
    <definedName name="OSRRefP22_18x_0" localSheetId="47">'Div 3'!$P$194:$P$196</definedName>
    <definedName name="OSRRefP22_18x_0" localSheetId="71">'Div 4'!$P$84:$P$85</definedName>
    <definedName name="OSRRefP22_18x_0" localSheetId="2">Summary!$P$215:$P$218</definedName>
    <definedName name="OSRRefP22_19x_0" localSheetId="48">'300'!$P$194:$P$195</definedName>
    <definedName name="OSRRefP22_19x_0" localSheetId="49">'300 &amp; 317'!$P$216:$P$217</definedName>
    <definedName name="OSRRefP22_19x_0" localSheetId="50">'301'!$P$87</definedName>
    <definedName name="OSRRefP22_19x_0" localSheetId="72">'310 &amp; 491'!$P$103</definedName>
    <definedName name="OSRRefP22_19x_0" localSheetId="55">'331'!$P$152</definedName>
    <definedName name="OSRRefP22_19x_0" localSheetId="57">'333'!$P$155</definedName>
    <definedName name="OSRRefP22_19x_0" localSheetId="73">'491'!$P$91</definedName>
    <definedName name="OSRRefP22_19x_0" localSheetId="39">'Div 2'!$P$85:$P$86</definedName>
    <definedName name="OSRRefP22_19x_0" localSheetId="47">'Div 3'!$P$198:$P$202</definedName>
    <definedName name="OSRRefP22_19x_0" localSheetId="71">'Div 4'!$P$87:$P$95</definedName>
    <definedName name="OSRRefP22_19x_0" localSheetId="2">Summary!$P$220:$P$222</definedName>
    <definedName name="OSRRefP22_1x_0" localSheetId="40">'200'!$P$22</definedName>
    <definedName name="OSRRefP22_1x_0" localSheetId="41">'201'!$P$29:$P$32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'206'!$P$29:$P$32</definedName>
    <definedName name="OSRRefP22_1x_0" localSheetId="48">'300'!$P$139:$P$145</definedName>
    <definedName name="OSRRefP22_1x_0" localSheetId="49">'300 &amp; 317'!$P$161:$P$167</definedName>
    <definedName name="OSRRefP22_1x_0" localSheetId="50">'301'!$P$32:$P$38</definedName>
    <definedName name="OSRRefP22_1x_0" localSheetId="51">'306'!$P$25:$P$26</definedName>
    <definedName name="OSRRefP22_1x_0" localSheetId="56">'307'!$P$47:$P$50</definedName>
    <definedName name="OSRRefP22_1x_0" localSheetId="52">'308'!$P$72:$P$78</definedName>
    <definedName name="OSRRefP22_1x_0" localSheetId="65">'309'!$P$29:$P$30</definedName>
    <definedName name="OSRRefP22_1x_0" localSheetId="64">'310'!$P$44:$P$49</definedName>
    <definedName name="OSRRefP22_1x_0" localSheetId="72">'310 &amp; 491'!$P$46:$P$52</definedName>
    <definedName name="OSRRefP22_1x_0" localSheetId="53">'311'!$P$72:$P$78</definedName>
    <definedName name="OSRRefP22_1x_0" localSheetId="66">'313'!$P$34</definedName>
    <definedName name="OSRRefP22_1x_0" localSheetId="58">'315'!$P$96:$P$101</definedName>
    <definedName name="OSRRefP22_1x_0" localSheetId="61">'316'!$P$43:$P$45</definedName>
    <definedName name="OSRRefP22_1x_0" localSheetId="63">'317'!$P$64:$P$68</definedName>
    <definedName name="OSRRefP22_1x_0" localSheetId="67">'321'!$P$37:$P$42</definedName>
    <definedName name="OSRRefP22_1x_0" localSheetId="68">'322'!$P$27</definedName>
    <definedName name="OSRRefP22_1x_0" localSheetId="69">'325'!$P$33:$P$35</definedName>
    <definedName name="OSRRefP22_1x_0" localSheetId="59">'326'!$P$61:$P$66</definedName>
    <definedName name="OSRRefP22_1x_0" localSheetId="70">'327'!$P$26</definedName>
    <definedName name="OSRRefP22_1x_0" localSheetId="55">'331'!$P$97:$P$102</definedName>
    <definedName name="OSRRefP22_1x_0" localSheetId="60">'332'!$P$45:$P$47</definedName>
    <definedName name="OSRRefP22_1x_0" localSheetId="57">'333'!$P$99:$P$104</definedName>
    <definedName name="OSRRefP22_1x_0" localSheetId="74">'405'!$P$33:$P$36</definedName>
    <definedName name="OSRRefP22_1x_0" localSheetId="75">'406'!$P$22</definedName>
    <definedName name="OSRRefP22_1x_0" localSheetId="76">'411'!$P$29:$P$33</definedName>
    <definedName name="OSRRefP22_1x_0" localSheetId="77">'412'!$P$22</definedName>
    <definedName name="OSRRefP22_1x_0" localSheetId="78">'413'!$P$26</definedName>
    <definedName name="OSRRefP22_1x_0" localSheetId="79">'414'!$P$24</definedName>
    <definedName name="OSRRefP22_1x_0" localSheetId="80">'415'!$P$33:$P$37</definedName>
    <definedName name="OSRRefP22_1x_0" localSheetId="81">'418'!$P$30:$P$33</definedName>
    <definedName name="OSRRefP22_1x_0" localSheetId="83">'423'!$P$23</definedName>
    <definedName name="OSRRefP22_1x_0" localSheetId="84">'424'!$P$22</definedName>
    <definedName name="OSRRefP22_1x_0" localSheetId="85">'425'!$P$28</definedName>
    <definedName name="OSRRefP22_1x_0" localSheetId="88">'430'!$P$29</definedName>
    <definedName name="OSRRefP22_1x_0" localSheetId="89">'433'!$P$35:$P$39</definedName>
    <definedName name="OSRRefP22_1x_0" localSheetId="90">'435'!$P$22</definedName>
    <definedName name="OSRRefP22_1x_0" localSheetId="91">'444'!$P$35:$P$40</definedName>
    <definedName name="OSRRefP22_1x_0" localSheetId="92">'450'!$P$35:$P$39</definedName>
    <definedName name="OSRRefP22_1x_0" localSheetId="73">'491'!$P$36:$P$41</definedName>
    <definedName name="OSRRefP22_1x_0" localSheetId="87">'492'!$P$35:$P$41</definedName>
    <definedName name="OSRRefP22_1x_0" localSheetId="94">'501'!$P$31:$P$36</definedName>
    <definedName name="OSRRefP22_1x_0" localSheetId="39">'Div 2'!$P$32:$P$37</definedName>
    <definedName name="OSRRefP22_1x_0" localSheetId="47">'Div 3'!$P$146:$P$152</definedName>
    <definedName name="OSRRefP22_1x_0" localSheetId="71">'Div 4'!$P$38:$P$44</definedName>
    <definedName name="OSRRefP22_1x_0" localSheetId="93">'Div 5'!$P$31:$P$36</definedName>
    <definedName name="OSRRefP22_1x_0" localSheetId="62">'Div 6'!$P$64:$P$68</definedName>
    <definedName name="OSRRefP22_1x_0" localSheetId="2">Summary!$P$170:$P$176</definedName>
    <definedName name="OSRRefP22_20x_0" localSheetId="48">'300'!$P$197:$P$203</definedName>
    <definedName name="OSRRefP22_20x_0" localSheetId="49">'300 &amp; 317'!$P$219:$P$225</definedName>
    <definedName name="OSRRefP22_20x_0" localSheetId="50">'301'!$P$89</definedName>
    <definedName name="OSRRefP22_20x_0" localSheetId="72">'310 &amp; 491'!$P$105:$P$106</definedName>
    <definedName name="OSRRefP22_20x_0" localSheetId="55">'331'!$P$154</definedName>
    <definedName name="OSRRefP22_20x_0" localSheetId="57">'333'!$P$157</definedName>
    <definedName name="OSRRefP22_20x_0" localSheetId="73">'491'!$P$93:$P$94</definedName>
    <definedName name="OSRRefP22_20x_0" localSheetId="47">'Div 3'!$P$204:$P$205</definedName>
    <definedName name="OSRRefP22_20x_0" localSheetId="71">'Div 4'!$P$97</definedName>
    <definedName name="OSRRefP22_20x_0" localSheetId="2">Summary!$P$224:$P$228</definedName>
    <definedName name="OSRRefP22_21x_0" localSheetId="48">'300'!$P$205:$P$206</definedName>
    <definedName name="OSRRefP22_21x_0" localSheetId="49">'300 &amp; 317'!$P$227:$P$228</definedName>
    <definedName name="OSRRefP22_21x_0" localSheetId="50">'301'!$P$91:$P$92</definedName>
    <definedName name="OSRRefP22_21x_0" localSheetId="72">'310 &amp; 491'!$P$108</definedName>
    <definedName name="OSRRefP22_21x_0" localSheetId="55">'331'!$P$156</definedName>
    <definedName name="OSRRefP22_21x_0" localSheetId="57">'333'!$P$159</definedName>
    <definedName name="OSRRefP22_21x_0" localSheetId="73">'491'!$P$96</definedName>
    <definedName name="OSRRefP22_21x_0" localSheetId="47">'Div 3'!$P$207:$P$213</definedName>
    <definedName name="OSRRefP22_21x_0" localSheetId="71">'Div 4'!$P$99</definedName>
    <definedName name="OSRRefP22_21x_0" localSheetId="2">Summary!$P$230:$P$231</definedName>
    <definedName name="OSRRefP22_22x_0" localSheetId="48">'300'!$P$208</definedName>
    <definedName name="OSRRefP22_22x_0" localSheetId="49">'300 &amp; 317'!$P$230</definedName>
    <definedName name="OSRRefP22_22x_0" localSheetId="50">'301'!$P$94</definedName>
    <definedName name="OSRRefP22_22x_0" localSheetId="55">'331'!$P$158</definedName>
    <definedName name="OSRRefP22_22x_0" localSheetId="57">'333'!$P$161</definedName>
    <definedName name="OSRRefP22_22x_0" localSheetId="47">'Div 3'!$P$215:$P$216</definedName>
    <definedName name="OSRRefP22_22x_0" localSheetId="71">'Div 4'!$P$101:$P$102</definedName>
    <definedName name="OSRRefP22_22x_0" localSheetId="2">Summary!$P$233:$P$241</definedName>
    <definedName name="OSRRefP22_23x_0" localSheetId="48">'300'!$P$210:$P$212</definedName>
    <definedName name="OSRRefP22_23x_0" localSheetId="49">'300 &amp; 317'!$P$232:$P$234</definedName>
    <definedName name="OSRRefP22_23x_0" localSheetId="47">'Div 3'!$P$218</definedName>
    <definedName name="OSRRefP22_23x_0" localSheetId="71">'Div 4'!$P$104</definedName>
    <definedName name="OSRRefP22_23x_0" localSheetId="2">Summary!$P$243:$P$244</definedName>
    <definedName name="OSRRefP22_24x_0" localSheetId="48">'300'!$P$214</definedName>
    <definedName name="OSRRefP22_24x_0" localSheetId="49">'300 &amp; 317'!$P$236</definedName>
    <definedName name="OSRRefP22_24x_0" localSheetId="47">'Div 3'!$P$220:$P$222</definedName>
    <definedName name="OSRRefP22_24x_0" localSheetId="2">Summary!$P$246</definedName>
    <definedName name="OSRRefP22_25x_0" localSheetId="47">'Div 3'!$P$224</definedName>
    <definedName name="OSRRefP22_25x_0" localSheetId="2">Summary!$P$248:$P$250</definedName>
    <definedName name="OSRRefP22_26x_0" localSheetId="2">Summary!$P$252</definedName>
    <definedName name="OSRRefP22_2x_0" localSheetId="40">'200'!$P$24</definedName>
    <definedName name="OSRRefP22_2x_0" localSheetId="41">'201'!$P$34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'206'!$P$34</definedName>
    <definedName name="OSRRefP22_2x_0" localSheetId="48">'300'!$P$147</definedName>
    <definedName name="OSRRefP22_2x_0" localSheetId="49">'300 &amp; 317'!$P$169</definedName>
    <definedName name="OSRRefP22_2x_0" localSheetId="50">'301'!$P$40</definedName>
    <definedName name="OSRRefP22_2x_0" localSheetId="51">'306'!$P$28</definedName>
    <definedName name="OSRRefP22_2x_0" localSheetId="56">'307'!$P$52</definedName>
    <definedName name="OSRRefP22_2x_0" localSheetId="52">'308'!$P$80</definedName>
    <definedName name="OSRRefP22_2x_0" localSheetId="65">'309'!$P$32</definedName>
    <definedName name="OSRRefP22_2x_0" localSheetId="64">'310'!$P$51</definedName>
    <definedName name="OSRRefP22_2x_0" localSheetId="72">'310 &amp; 491'!$P$54</definedName>
    <definedName name="OSRRefP22_2x_0" localSheetId="53">'311'!$P$80</definedName>
    <definedName name="OSRRefP22_2x_0" localSheetId="66">'313'!$P$36</definedName>
    <definedName name="OSRRefP22_2x_0" localSheetId="58">'315'!$P$103</definedName>
    <definedName name="OSRRefP22_2x_0" localSheetId="61">'316'!$P$47</definedName>
    <definedName name="OSRRefP22_2x_0" localSheetId="63">'317'!$P$70</definedName>
    <definedName name="OSRRefP22_2x_0" localSheetId="67">'321'!$P$44</definedName>
    <definedName name="OSRRefP22_2x_0" localSheetId="68">'322'!$P$29</definedName>
    <definedName name="OSRRefP22_2x_0" localSheetId="69">'325'!$P$37</definedName>
    <definedName name="OSRRefP22_2x_0" localSheetId="59">'326'!$P$68</definedName>
    <definedName name="OSRRefP22_2x_0" localSheetId="55">'331'!$P$104</definedName>
    <definedName name="OSRRefP22_2x_0" localSheetId="60">'332'!$P$49</definedName>
    <definedName name="OSRRefP22_2x_0" localSheetId="57">'333'!$P$106</definedName>
    <definedName name="OSRRefP22_2x_0" localSheetId="74">'405'!$P$38</definedName>
    <definedName name="OSRRefP22_2x_0" localSheetId="75">'406'!$P$24</definedName>
    <definedName name="OSRRefP22_2x_0" localSheetId="76">'411'!$P$35</definedName>
    <definedName name="OSRRefP22_2x_0" localSheetId="77">'412'!$P$24:$P$25</definedName>
    <definedName name="OSRRefP22_2x_0" localSheetId="78">'413'!$P$28</definedName>
    <definedName name="OSRRefP22_2x_0" localSheetId="79">'414'!$P$26</definedName>
    <definedName name="OSRRefP22_2x_0" localSheetId="80">'415'!$P$39</definedName>
    <definedName name="OSRRefP22_2x_0" localSheetId="81">'418'!$P$35</definedName>
    <definedName name="OSRRefP22_2x_0" localSheetId="83">'423'!$P$25</definedName>
    <definedName name="OSRRefP22_2x_0" localSheetId="84">'424'!$P$24</definedName>
    <definedName name="OSRRefP22_2x_0" localSheetId="85">'425'!$P$30</definedName>
    <definedName name="OSRRefP22_2x_0" localSheetId="88">'430'!$P$31</definedName>
    <definedName name="OSRRefP22_2x_0" localSheetId="89">'433'!$P$41</definedName>
    <definedName name="OSRRefP22_2x_0" localSheetId="91">'444'!$P$42</definedName>
    <definedName name="OSRRefP22_2x_0" localSheetId="92">'450'!$P$41</definedName>
    <definedName name="OSRRefP22_2x_0" localSheetId="73">'491'!$P$43</definedName>
    <definedName name="OSRRefP22_2x_0" localSheetId="87">'492'!$P$43</definedName>
    <definedName name="OSRRefP22_2x_0" localSheetId="94">'501'!$P$38</definedName>
    <definedName name="OSRRefP22_2x_0" localSheetId="39">'Div 2'!$P$39</definedName>
    <definedName name="OSRRefP22_2x_0" localSheetId="47">'Div 3'!$P$154</definedName>
    <definedName name="OSRRefP22_2x_0" localSheetId="71">'Div 4'!$P$46</definedName>
    <definedName name="OSRRefP22_2x_0" localSheetId="93">'Div 5'!$P$38</definedName>
    <definedName name="OSRRefP22_2x_0" localSheetId="62">'Div 6'!$P$70</definedName>
    <definedName name="OSRRefP22_2x_0" localSheetId="2">Summary!$P$178</definedName>
    <definedName name="OSRRefP22_3x_0" localSheetId="40">'200'!$P$26</definedName>
    <definedName name="OSRRefP22_3x_0" localSheetId="41">'201'!$P$36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'206'!$P$36</definedName>
    <definedName name="OSRRefP22_3x_0" localSheetId="48">'300'!$P$149:$P$150</definedName>
    <definedName name="OSRRefP22_3x_0" localSheetId="49">'300 &amp; 317'!$P$171:$P$172</definedName>
    <definedName name="OSRRefP22_3x_0" localSheetId="50">'301'!$P$42:$P$43</definedName>
    <definedName name="OSRRefP22_3x_0" localSheetId="51">'306'!$P$30</definedName>
    <definedName name="OSRRefP22_3x_0" localSheetId="56">'307'!$P$54</definedName>
    <definedName name="OSRRefP22_3x_0" localSheetId="52">'308'!$P$82:$P$83</definedName>
    <definedName name="OSRRefP22_3x_0" localSheetId="65">'309'!$P$34</definedName>
    <definedName name="OSRRefP22_3x_0" localSheetId="64">'310'!$P$53</definedName>
    <definedName name="OSRRefP22_3x_0" localSheetId="72">'310 &amp; 491'!$P$56</definedName>
    <definedName name="OSRRefP22_3x_0" localSheetId="53">'311'!$P$82:$P$83</definedName>
    <definedName name="OSRRefP22_3x_0" localSheetId="66">'313'!$P$38</definedName>
    <definedName name="OSRRefP22_3x_0" localSheetId="58">'315'!$P$105:$P$106</definedName>
    <definedName name="OSRRefP22_3x_0" localSheetId="61">'316'!$P$49</definedName>
    <definedName name="OSRRefP22_3x_0" localSheetId="63">'317'!$P$72</definedName>
    <definedName name="OSRRefP22_3x_0" localSheetId="67">'321'!$P$46</definedName>
    <definedName name="OSRRefP22_3x_0" localSheetId="68">'322'!$P$31</definedName>
    <definedName name="OSRRefP22_3x_0" localSheetId="69">'325'!$P$39</definedName>
    <definedName name="OSRRefP22_3x_0" localSheetId="59">'326'!$P$70</definedName>
    <definedName name="OSRRefP22_3x_0" localSheetId="55">'331'!$P$106</definedName>
    <definedName name="OSRRefP22_3x_0" localSheetId="60">'332'!$P$51</definedName>
    <definedName name="OSRRefP22_3x_0" localSheetId="57">'333'!$P$108</definedName>
    <definedName name="OSRRefP22_3x_0" localSheetId="74">'405'!$P$40</definedName>
    <definedName name="OSRRefP22_3x_0" localSheetId="75">'406'!$P$26</definedName>
    <definedName name="OSRRefP22_3x_0" localSheetId="76">'411'!$P$37:$P$38</definedName>
    <definedName name="OSRRefP22_3x_0" localSheetId="77">'412'!$P$27</definedName>
    <definedName name="OSRRefP22_3x_0" localSheetId="78">'413'!$P$30</definedName>
    <definedName name="OSRRefP22_3x_0" localSheetId="79">'414'!$P$28</definedName>
    <definedName name="OSRRefP22_3x_0" localSheetId="80">'415'!$P$41</definedName>
    <definedName name="OSRRefP22_3x_0" localSheetId="81">'418'!$P$37</definedName>
    <definedName name="OSRRefP22_3x_0" localSheetId="83">'423'!$P$27</definedName>
    <definedName name="OSRRefP22_3x_0" localSheetId="84">'424'!$P$26</definedName>
    <definedName name="OSRRefP22_3x_0" localSheetId="85">'425'!$P$32</definedName>
    <definedName name="OSRRefP22_3x_0" localSheetId="88">'430'!$P$33</definedName>
    <definedName name="OSRRefP22_3x_0" localSheetId="89">'433'!$P$43</definedName>
    <definedName name="OSRRefP22_3x_0" localSheetId="91">'444'!$P$44</definedName>
    <definedName name="OSRRefP22_3x_0" localSheetId="92">'450'!$P$43</definedName>
    <definedName name="OSRRefP22_3x_0" localSheetId="73">'491'!$P$45</definedName>
    <definedName name="OSRRefP22_3x_0" localSheetId="87">'492'!$P$45</definedName>
    <definedName name="OSRRefP22_3x_0" localSheetId="94">'501'!$P$40</definedName>
    <definedName name="OSRRefP22_3x_0" localSheetId="39">'Div 2'!$P$41</definedName>
    <definedName name="OSRRefP22_3x_0" localSheetId="47">'Div 3'!$P$156:$P$157</definedName>
    <definedName name="OSRRefP22_3x_0" localSheetId="71">'Div 4'!$P$48</definedName>
    <definedName name="OSRRefP22_3x_0" localSheetId="93">'Div 5'!$P$40</definedName>
    <definedName name="OSRRefP22_3x_0" localSheetId="62">'Div 6'!$P$72</definedName>
    <definedName name="OSRRefP22_3x_0" localSheetId="2">Summary!$P$180:$P$181</definedName>
    <definedName name="OSRRefP22_4x_0" localSheetId="41">'201'!$P$38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'205'!$P$35:$P$36</definedName>
    <definedName name="OSRRefP22_4x_0" localSheetId="46">'206'!$P$38</definedName>
    <definedName name="OSRRefP22_4x_0" localSheetId="48">'300'!$P$152</definedName>
    <definedName name="OSRRefP22_4x_0" localSheetId="49">'300 &amp; 317'!$P$174</definedName>
    <definedName name="OSRRefP22_4x_0" localSheetId="50">'301'!$P$45</definedName>
    <definedName name="OSRRefP22_4x_0" localSheetId="51">'306'!$P$32</definedName>
    <definedName name="OSRRefP22_4x_0" localSheetId="56">'307'!$P$56:$P$57</definedName>
    <definedName name="OSRRefP22_4x_0" localSheetId="52">'308'!$P$85</definedName>
    <definedName name="OSRRefP22_4x_0" localSheetId="65">'309'!$P$36</definedName>
    <definedName name="OSRRefP22_4x_0" localSheetId="64">'310'!$P$55</definedName>
    <definedName name="OSRRefP22_4x_0" localSheetId="72">'310 &amp; 491'!$P$58</definedName>
    <definedName name="OSRRefP22_4x_0" localSheetId="53">'311'!$P$85</definedName>
    <definedName name="OSRRefP22_4x_0" localSheetId="66">'313'!$P$40</definedName>
    <definedName name="OSRRefP22_4x_0" localSheetId="58">'315'!$P$108</definedName>
    <definedName name="OSRRefP22_4x_0" localSheetId="61">'316'!$P$51</definedName>
    <definedName name="OSRRefP22_4x_0" localSheetId="63">'317'!$P$74</definedName>
    <definedName name="OSRRefP22_4x_0" localSheetId="67">'321'!$P$48</definedName>
    <definedName name="OSRRefP22_4x_0" localSheetId="68">'322'!$P$33:$P$34</definedName>
    <definedName name="OSRRefP22_4x_0" localSheetId="69">'325'!$P$41</definedName>
    <definedName name="OSRRefP22_4x_0" localSheetId="59">'326'!$P$72</definedName>
    <definedName name="OSRRefP22_4x_0" localSheetId="55">'331'!$P$108</definedName>
    <definedName name="OSRRefP22_4x_0" localSheetId="60">'332'!$P$53</definedName>
    <definedName name="OSRRefP22_4x_0" localSheetId="57">'333'!$P$110</definedName>
    <definedName name="OSRRefP22_4x_0" localSheetId="74">'405'!$P$42</definedName>
    <definedName name="OSRRefP22_4x_0" localSheetId="75">'406'!$P$28</definedName>
    <definedName name="OSRRefP22_4x_0" localSheetId="76">'411'!$P$40</definedName>
    <definedName name="OSRRefP22_4x_0" localSheetId="77">'412'!$P$29</definedName>
    <definedName name="OSRRefP22_4x_0" localSheetId="78">'413'!$P$32</definedName>
    <definedName name="OSRRefP22_4x_0" localSheetId="79">'414'!$P$30</definedName>
    <definedName name="OSRRefP22_4x_0" localSheetId="80">'415'!$P$43</definedName>
    <definedName name="OSRRefP22_4x_0" localSheetId="81">'418'!$P$39:$P$40</definedName>
    <definedName name="OSRRefP22_4x_0" localSheetId="85">'425'!$P$34</definedName>
    <definedName name="OSRRefP22_4x_0" localSheetId="88">'430'!$P$35</definedName>
    <definedName name="OSRRefP22_4x_0" localSheetId="89">'433'!$P$45</definedName>
    <definedName name="OSRRefP22_4x_0" localSheetId="91">'444'!$P$46</definedName>
    <definedName name="OSRRefP22_4x_0" localSheetId="92">'450'!$P$45</definedName>
    <definedName name="OSRRefP22_4x_0" localSheetId="73">'491'!$P$47</definedName>
    <definedName name="OSRRefP22_4x_0" localSheetId="87">'492'!$P$47</definedName>
    <definedName name="OSRRefP22_4x_0" localSheetId="94">'501'!$P$42:$P$43</definedName>
    <definedName name="OSRRefP22_4x_0" localSheetId="39">'Div 2'!$P$43</definedName>
    <definedName name="OSRRefP22_4x_0" localSheetId="47">'Div 3'!$P$159</definedName>
    <definedName name="OSRRefP22_4x_0" localSheetId="71">'Div 4'!$P$50</definedName>
    <definedName name="OSRRefP22_4x_0" localSheetId="93">'Div 5'!$P$42:$P$43</definedName>
    <definedName name="OSRRefP22_4x_0" localSheetId="62">'Div 6'!$P$74</definedName>
    <definedName name="OSRRefP22_4x_0" localSheetId="2">Summary!$P$183</definedName>
    <definedName name="OSRRefP22_5x_0" localSheetId="41">'201'!$P$40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'205'!$P$38:$P$40</definedName>
    <definedName name="OSRRefP22_5x_0" localSheetId="46">'206'!$P$40</definedName>
    <definedName name="OSRRefP22_5x_0" localSheetId="48">'300'!$P$154:$P$155</definedName>
    <definedName name="OSRRefP22_5x_0" localSheetId="49">'300 &amp; 317'!$P$176:$P$177</definedName>
    <definedName name="OSRRefP22_5x_0" localSheetId="50">'301'!$P$47:$P$48</definedName>
    <definedName name="OSRRefP22_5x_0" localSheetId="51">'306'!$P$34</definedName>
    <definedName name="OSRRefP22_5x_0" localSheetId="56">'307'!$P$59</definedName>
    <definedName name="OSRRefP22_5x_0" localSheetId="52">'308'!$P$87</definedName>
    <definedName name="OSRRefP22_5x_0" localSheetId="65">'309'!$P$38</definedName>
    <definedName name="OSRRefP22_5x_0" localSheetId="64">'310'!$P$57:$P$58</definedName>
    <definedName name="OSRRefP22_5x_0" localSheetId="72">'310 &amp; 491'!$P$60:$P$61</definedName>
    <definedName name="OSRRefP22_5x_0" localSheetId="53">'311'!$P$87</definedName>
    <definedName name="OSRRefP22_5x_0" localSheetId="66">'313'!$P$42</definedName>
    <definedName name="OSRRefP22_5x_0" localSheetId="58">'315'!$P$110</definedName>
    <definedName name="OSRRefP22_5x_0" localSheetId="61">'316'!$P$53</definedName>
    <definedName name="OSRRefP22_5x_0" localSheetId="63">'317'!$P$76:$P$77</definedName>
    <definedName name="OSRRefP22_5x_0" localSheetId="67">'321'!$P$50</definedName>
    <definedName name="OSRRefP22_5x_0" localSheetId="68">'322'!$P$36</definedName>
    <definedName name="OSRRefP22_5x_0" localSheetId="69">'325'!$P$43:$P$44</definedName>
    <definedName name="OSRRefP22_5x_0" localSheetId="59">'326'!$P$74</definedName>
    <definedName name="OSRRefP22_5x_0" localSheetId="55">'331'!$P$110:$P$111</definedName>
    <definedName name="OSRRefP22_5x_0" localSheetId="60">'332'!$P$55</definedName>
    <definedName name="OSRRefP22_5x_0" localSheetId="57">'333'!$P$112:$P$113</definedName>
    <definedName name="OSRRefP22_5x_0" localSheetId="74">'405'!$P$44:$P$45</definedName>
    <definedName name="OSRRefP22_5x_0" localSheetId="76">'411'!$P$42</definedName>
    <definedName name="OSRRefP22_5x_0" localSheetId="78">'413'!$P$34</definedName>
    <definedName name="OSRRefP22_5x_0" localSheetId="79">'414'!$P$32:$P$33</definedName>
    <definedName name="OSRRefP22_5x_0" localSheetId="80">'415'!$P$45:$P$46</definedName>
    <definedName name="OSRRefP22_5x_0" localSheetId="81">'418'!$P$42</definedName>
    <definedName name="OSRRefP22_5x_0" localSheetId="85">'425'!$P$36:$P$37</definedName>
    <definedName name="OSRRefP22_5x_0" localSheetId="88">'430'!$P$37:$P$38</definedName>
    <definedName name="OSRRefP22_5x_0" localSheetId="89">'433'!$P$47</definedName>
    <definedName name="OSRRefP22_5x_0" localSheetId="91">'444'!$P$48</definedName>
    <definedName name="OSRRefP22_5x_0" localSheetId="92">'450'!$P$47</definedName>
    <definedName name="OSRRefP22_5x_0" localSheetId="73">'491'!$P$49:$P$50</definedName>
    <definedName name="OSRRefP22_5x_0" localSheetId="87">'492'!$P$49</definedName>
    <definedName name="OSRRefP22_5x_0" localSheetId="94">'501'!$P$45</definedName>
    <definedName name="OSRRefP22_5x_0" localSheetId="39">'Div 2'!$P$45</definedName>
    <definedName name="OSRRefP22_5x_0" localSheetId="47">'Div 3'!$P$161:$P$162</definedName>
    <definedName name="OSRRefP22_5x_0" localSheetId="71">'Div 4'!$P$52:$P$53</definedName>
    <definedName name="OSRRefP22_5x_0" localSheetId="93">'Div 5'!$P$45</definedName>
    <definedName name="OSRRefP22_5x_0" localSheetId="62">'Div 6'!$P$76:$P$77</definedName>
    <definedName name="OSRRefP22_5x_0" localSheetId="2">Summary!$P$185:$P$186</definedName>
    <definedName name="OSRRefP22_6x_0" localSheetId="41">'201'!$P$42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'205'!$P$42</definedName>
    <definedName name="OSRRefP22_6x_0" localSheetId="46">'206'!$P$42</definedName>
    <definedName name="OSRRefP22_6x_0" localSheetId="48">'300'!$P$157:$P$158</definedName>
    <definedName name="OSRRefP22_6x_0" localSheetId="49">'300 &amp; 317'!$P$179:$P$180</definedName>
    <definedName name="OSRRefP22_6x_0" localSheetId="50">'301'!$P$50:$P$51</definedName>
    <definedName name="OSRRefP22_6x_0" localSheetId="56">'307'!$P$61</definedName>
    <definedName name="OSRRefP22_6x_0" localSheetId="52">'308'!$P$89:$P$90</definedName>
    <definedName name="OSRRefP22_6x_0" localSheetId="65">'309'!$P$40</definedName>
    <definedName name="OSRRefP22_6x_0" localSheetId="64">'310'!$P$60</definedName>
    <definedName name="OSRRefP22_6x_0" localSheetId="72">'310 &amp; 491'!$P$63</definedName>
    <definedName name="OSRRefP22_6x_0" localSheetId="53">'311'!$P$89:$P$90</definedName>
    <definedName name="OSRRefP22_6x_0" localSheetId="66">'313'!$P$44</definedName>
    <definedName name="OSRRefP22_6x_0" localSheetId="58">'315'!$P$112:$P$113</definedName>
    <definedName name="OSRRefP22_6x_0" localSheetId="61">'316'!$P$55:$P$56</definedName>
    <definedName name="OSRRefP22_6x_0" localSheetId="63">'317'!$P$79</definedName>
    <definedName name="OSRRefP22_6x_0" localSheetId="67">'321'!$P$52</definedName>
    <definedName name="OSRRefP22_6x_0" localSheetId="68">'322'!$P$38</definedName>
    <definedName name="OSRRefP22_6x_0" localSheetId="69">'325'!$P$46</definedName>
    <definedName name="OSRRefP22_6x_0" localSheetId="59">'326'!$P$76</definedName>
    <definedName name="OSRRefP22_6x_0" localSheetId="55">'331'!$P$113</definedName>
    <definedName name="OSRRefP22_6x_0" localSheetId="60">'332'!$P$57:$P$58</definedName>
    <definedName name="OSRRefP22_6x_0" localSheetId="57">'333'!$P$115</definedName>
    <definedName name="OSRRefP22_6x_0" localSheetId="74">'405'!$P$47</definedName>
    <definedName name="OSRRefP22_6x_0" localSheetId="76">'411'!$P$44</definedName>
    <definedName name="OSRRefP22_6x_0" localSheetId="80">'415'!$P$48</definedName>
    <definedName name="OSRRefP22_6x_0" localSheetId="81">'418'!$P$44</definedName>
    <definedName name="OSRRefP22_6x_0" localSheetId="85">'425'!$P$39</definedName>
    <definedName name="OSRRefP22_6x_0" localSheetId="88">'430'!$P$40</definedName>
    <definedName name="OSRRefP22_6x_0" localSheetId="89">'433'!$P$49</definedName>
    <definedName name="OSRRefP22_6x_0" localSheetId="91">'444'!$P$50</definedName>
    <definedName name="OSRRefP22_6x_0" localSheetId="92">'450'!$P$49</definedName>
    <definedName name="OSRRefP22_6x_0" localSheetId="73">'491'!$P$52</definedName>
    <definedName name="OSRRefP22_6x_0" localSheetId="87">'492'!$P$51</definedName>
    <definedName name="OSRRefP22_6x_0" localSheetId="94">'501'!$P$47</definedName>
    <definedName name="OSRRefP22_6x_0" localSheetId="39">'Div 2'!$P$47</definedName>
    <definedName name="OSRRefP22_6x_0" localSheetId="47">'Div 3'!$P$164:$P$165</definedName>
    <definedName name="OSRRefP22_6x_0" localSheetId="71">'Div 4'!$P$55</definedName>
    <definedName name="OSRRefP22_6x_0" localSheetId="93">'Div 5'!$P$47</definedName>
    <definedName name="OSRRefP22_6x_0" localSheetId="62">'Div 6'!$P$79</definedName>
    <definedName name="OSRRefP22_6x_0" localSheetId="2">Summary!$P$188:$P$189</definedName>
    <definedName name="OSRRefP22_7x_0" localSheetId="41">'201'!$P$44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'300'!$P$160</definedName>
    <definedName name="OSRRefP22_7x_0" localSheetId="49">'300 &amp; 317'!$P$182</definedName>
    <definedName name="OSRRefP22_7x_0" localSheetId="50">'301'!$P$53</definedName>
    <definedName name="OSRRefP22_7x_0" localSheetId="56">'307'!$P$63</definedName>
    <definedName name="OSRRefP22_7x_0" localSheetId="52">'308'!$P$92</definedName>
    <definedName name="OSRRefP22_7x_0" localSheetId="65">'309'!$P$42</definedName>
    <definedName name="OSRRefP22_7x_0" localSheetId="64">'310'!$P$62</definedName>
    <definedName name="OSRRefP22_7x_0" localSheetId="72">'310 &amp; 491'!$P$65</definedName>
    <definedName name="OSRRefP22_7x_0" localSheetId="53">'311'!$P$92</definedName>
    <definedName name="OSRRefP22_7x_0" localSheetId="66">'313'!$P$46</definedName>
    <definedName name="OSRRefP22_7x_0" localSheetId="58">'315'!$P$115</definedName>
    <definedName name="OSRRefP22_7x_0" localSheetId="61">'316'!$P$58</definedName>
    <definedName name="OSRRefP22_7x_0" localSheetId="63">'317'!$P$81</definedName>
    <definedName name="OSRRefP22_7x_0" localSheetId="67">'321'!$P$54:$P$55</definedName>
    <definedName name="OSRRefP22_7x_0" localSheetId="68">'322'!$P$40</definedName>
    <definedName name="OSRRefP22_7x_0" localSheetId="69">'325'!$P$48</definedName>
    <definedName name="OSRRefP22_7x_0" localSheetId="59">'326'!$P$78</definedName>
    <definedName name="OSRRefP22_7x_0" localSheetId="55">'331'!$P$115</definedName>
    <definedName name="OSRRefP22_7x_0" localSheetId="60">'332'!$P$60</definedName>
    <definedName name="OSRRefP22_7x_0" localSheetId="57">'333'!$P$117</definedName>
    <definedName name="OSRRefP22_7x_0" localSheetId="74">'405'!$P$49</definedName>
    <definedName name="OSRRefP22_7x_0" localSheetId="76">'411'!$P$46</definedName>
    <definedName name="OSRRefP22_7x_0" localSheetId="80">'415'!$P$50</definedName>
    <definedName name="OSRRefP22_7x_0" localSheetId="81">'418'!$P$46</definedName>
    <definedName name="OSRRefP22_7x_0" localSheetId="85">'425'!$P$41</definedName>
    <definedName name="OSRRefP22_7x_0" localSheetId="88">'430'!$P$42</definedName>
    <definedName name="OSRRefP22_7x_0" localSheetId="89">'433'!$P$51</definedName>
    <definedName name="OSRRefP22_7x_0" localSheetId="91">'444'!$P$52</definedName>
    <definedName name="OSRRefP22_7x_0" localSheetId="92">'450'!$P$51</definedName>
    <definedName name="OSRRefP22_7x_0" localSheetId="73">'491'!$P$54</definedName>
    <definedName name="OSRRefP22_7x_0" localSheetId="87">'492'!$P$53</definedName>
    <definedName name="OSRRefP22_7x_0" localSheetId="94">'501'!$P$49:$P$52</definedName>
    <definedName name="OSRRefP22_7x_0" localSheetId="39">'Div 2'!$P$49</definedName>
    <definedName name="OSRRefP22_7x_0" localSheetId="47">'Div 3'!$P$167</definedName>
    <definedName name="OSRRefP22_7x_0" localSheetId="71">'Div 4'!$P$57</definedName>
    <definedName name="OSRRefP22_7x_0" localSheetId="93">'Div 5'!$P$49:$P$52</definedName>
    <definedName name="OSRRefP22_7x_0" localSheetId="62">'Div 6'!$P$81</definedName>
    <definedName name="OSRRefP22_7x_0" localSheetId="2">Summary!$P$191</definedName>
    <definedName name="OSRRefP22_8x_0" localSheetId="41">'201'!$P$46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'300'!$P$162</definedName>
    <definedName name="OSRRefP22_8x_0" localSheetId="49">'300 &amp; 317'!$P$184</definedName>
    <definedName name="OSRRefP22_8x_0" localSheetId="50">'301'!$P$55</definedName>
    <definedName name="OSRRefP22_8x_0" localSheetId="56">'307'!$P$65:$P$66</definedName>
    <definedName name="OSRRefP22_8x_0" localSheetId="52">'308'!$P$94</definedName>
    <definedName name="OSRRefP22_8x_0" localSheetId="65">'309'!$P$44:$P$45</definedName>
    <definedName name="OSRRefP22_8x_0" localSheetId="64">'310'!$P$64</definedName>
    <definedName name="OSRRefP22_8x_0" localSheetId="72">'310 &amp; 491'!$P$67:$P$68</definedName>
    <definedName name="OSRRefP22_8x_0" localSheetId="53">'311'!$P$94</definedName>
    <definedName name="OSRRefP22_8x_0" localSheetId="58">'315'!$P$117:$P$118</definedName>
    <definedName name="OSRRefP22_8x_0" localSheetId="61">'316'!$P$60:$P$62</definedName>
    <definedName name="OSRRefP22_8x_0" localSheetId="63">'317'!$P$83:$P$85</definedName>
    <definedName name="OSRRefP22_8x_0" localSheetId="67">'321'!$P$57</definedName>
    <definedName name="OSRRefP22_8x_0" localSheetId="69">'325'!$P$50</definedName>
    <definedName name="OSRRefP22_8x_0" localSheetId="59">'326'!$P$80</definedName>
    <definedName name="OSRRefP22_8x_0" localSheetId="55">'331'!$P$117:$P$118</definedName>
    <definedName name="OSRRefP22_8x_0" localSheetId="60">'332'!$P$62:$P$64</definedName>
    <definedName name="OSRRefP22_8x_0" localSheetId="57">'333'!$P$119:$P$120</definedName>
    <definedName name="OSRRefP22_8x_0" localSheetId="74">'405'!$P$51</definedName>
    <definedName name="OSRRefP22_8x_0" localSheetId="76">'411'!$P$48</definedName>
    <definedName name="OSRRefP22_8x_0" localSheetId="80">'415'!$P$52</definedName>
    <definedName name="OSRRefP22_8x_0" localSheetId="81">'418'!$P$48:$P$49</definedName>
    <definedName name="OSRRefP22_8x_0" localSheetId="85">'425'!$P$43</definedName>
    <definedName name="OSRRefP22_8x_0" localSheetId="88">'430'!$P$44</definedName>
    <definedName name="OSRRefP22_8x_0" localSheetId="89">'433'!$P$53</definedName>
    <definedName name="OSRRefP22_8x_0" localSheetId="91">'444'!$P$54</definedName>
    <definedName name="OSRRefP22_8x_0" localSheetId="92">'450'!$P$53</definedName>
    <definedName name="OSRRefP22_8x_0" localSheetId="73">'491'!$P$56</definedName>
    <definedName name="OSRRefP22_8x_0" localSheetId="87">'492'!$P$55</definedName>
    <definedName name="OSRRefP22_8x_0" localSheetId="94">'501'!$P$54:$P$55</definedName>
    <definedName name="OSRRefP22_8x_0" localSheetId="39">'Div 2'!$P$51</definedName>
    <definedName name="OSRRefP22_8x_0" localSheetId="47">'Div 3'!$P$169</definedName>
    <definedName name="OSRRefP22_8x_0" localSheetId="71">'Div 4'!$P$59</definedName>
    <definedName name="OSRRefP22_8x_0" localSheetId="93">'Div 5'!$P$54:$P$55</definedName>
    <definedName name="OSRRefP22_8x_0" localSheetId="62">'Div 6'!$P$83:$P$85</definedName>
    <definedName name="OSRRefP22_8x_0" localSheetId="2">Summary!$P$193</definedName>
    <definedName name="OSRRefP22_9x_0" localSheetId="41">'201'!$P$48:$P$50</definedName>
    <definedName name="OSRRefP22_9x_0" localSheetId="42">'202'!$P$50:$P$51</definedName>
    <definedName name="OSRRefP22_9x_0" localSheetId="43">'203'!$P$53:$P$54</definedName>
    <definedName name="OSRRefP22_9x_0" localSheetId="44">'204'!$P$52</definedName>
    <definedName name="OSRRefP22_9x_0" localSheetId="48">'300'!$P$164</definedName>
    <definedName name="OSRRefP22_9x_0" localSheetId="49">'300 &amp; 317'!$P$186</definedName>
    <definedName name="OSRRefP22_9x_0" localSheetId="50">'301'!$P$57</definedName>
    <definedName name="OSRRefP22_9x_0" localSheetId="56">'307'!$P$68:$P$69</definedName>
    <definedName name="OSRRefP22_9x_0" localSheetId="52">'308'!$P$96:$P$98</definedName>
    <definedName name="OSRRefP22_9x_0" localSheetId="65">'309'!$P$47:$P$48</definedName>
    <definedName name="OSRRefP22_9x_0" localSheetId="64">'310'!$P$66</definedName>
    <definedName name="OSRRefP22_9x_0" localSheetId="72">'310 &amp; 491'!$P$70</definedName>
    <definedName name="OSRRefP22_9x_0" localSheetId="53">'311'!$P$96:$P$98</definedName>
    <definedName name="OSRRefP22_9x_0" localSheetId="58">'315'!$P$120</definedName>
    <definedName name="OSRRefP22_9x_0" localSheetId="61">'316'!$P$64</definedName>
    <definedName name="OSRRefP22_9x_0" localSheetId="63">'317'!$P$87</definedName>
    <definedName name="OSRRefP22_9x_0" localSheetId="67">'321'!$P$59:$P$60</definedName>
    <definedName name="OSRRefP22_9x_0" localSheetId="69">'325'!$P$52</definedName>
    <definedName name="OSRRefP22_9x_0" localSheetId="59">'326'!$P$82</definedName>
    <definedName name="OSRRefP22_9x_0" localSheetId="55">'331'!$P$120</definedName>
    <definedName name="OSRRefP22_9x_0" localSheetId="60">'332'!$P$66</definedName>
    <definedName name="OSRRefP22_9x_0" localSheetId="57">'333'!$P$122</definedName>
    <definedName name="OSRRefP22_9x_0" localSheetId="74">'405'!$P$53</definedName>
    <definedName name="OSRRefP22_9x_0" localSheetId="76">'411'!$P$50:$P$52</definedName>
    <definedName name="OSRRefP22_9x_0" localSheetId="80">'415'!$P$54</definedName>
    <definedName name="OSRRefP22_9x_0" localSheetId="81">'418'!$P$51</definedName>
    <definedName name="OSRRefP22_9x_0" localSheetId="89">'433'!$P$55</definedName>
    <definedName name="OSRRefP22_9x_0" localSheetId="91">'444'!$P$56</definedName>
    <definedName name="OSRRefP22_9x_0" localSheetId="92">'450'!$P$55</definedName>
    <definedName name="OSRRefP22_9x_0" localSheetId="73">'491'!$P$58</definedName>
    <definedName name="OSRRefP22_9x_0" localSheetId="87">'492'!$P$57</definedName>
    <definedName name="OSRRefP22_9x_0" localSheetId="94">'501'!$P$57</definedName>
    <definedName name="OSRRefP22_9x_0" localSheetId="39">'Div 2'!$P$53:$P$54</definedName>
    <definedName name="OSRRefP22_9x_0" localSheetId="47">'Div 3'!$P$171</definedName>
    <definedName name="OSRRefP22_9x_0" localSheetId="71">'Div 4'!$P$61</definedName>
    <definedName name="OSRRefP22_9x_0" localSheetId="93">'Div 5'!$P$57</definedName>
    <definedName name="OSRRefP22_9x_0" localSheetId="62">'Div 6'!$P$87</definedName>
    <definedName name="OSRRefP22_9x_0" localSheetId="2">Summary!$P$195</definedName>
    <definedName name="OSRRefP22x_0" localSheetId="40">'200'!$P$20,'200'!$P$22,'200'!$P$24,'200'!$P$26</definedName>
    <definedName name="OSRRefP22x_0" localSheetId="41">'201'!$P$20:$P$27,'201'!$P$29:$P$32,'201'!$P$34,'201'!$P$36,'201'!$P$38,'201'!$P$40,'201'!$P$42,'201'!$P$44,'201'!$P$46,'201'!$P$48:$P$50,'201'!$P$52:$P$53,'201'!$P$55,'201'!$P$57:$P$58,'201'!$P$60,'201'!$P$62</definedName>
    <definedName name="OSRRefP22x_0" localSheetId="42">'202'!$P$20:$P$27,'202'!$P$29:$P$31,'202'!$P$33,'202'!$P$35,'202'!$P$37,'202'!$P$39:$P$40,'202'!$P$42,'202'!$P$44:$P$46,'202'!$P$48,'202'!$P$50:$P$51,'202'!$P$53,'202'!$P$55,'202'!$P$57</definedName>
    <definedName name="OSRRefP22x_0" localSheetId="43">'203'!$P$20:$P$29,'203'!$P$31:$P$35,'203'!$P$37,'203'!$P$39,'203'!$P$41,'203'!$P$43,'203'!$P$45,'203'!$P$47:$P$48,'203'!$P$50:$P$51,'203'!$P$53:$P$54,'203'!$P$56:$P$59,'203'!$P$61,'203'!$P$63,'203'!$P$65</definedName>
    <definedName name="OSRRefP22x_0" localSheetId="44">'204'!$P$20:$P$28,'204'!$P$30:$P$32,'204'!$P$34,'204'!$P$36,'204'!$P$38,'204'!$P$40:$P$43,'204'!$P$45,'204'!$P$47:$P$48,'204'!$P$50,'204'!$P$52</definedName>
    <definedName name="OSRRefP22x_0" localSheetId="45">'205'!$P$20:$P$27,'205'!$P$29,'205'!$P$31,'205'!$P$33,'205'!$P$35:$P$36,'205'!$P$38:$P$40,'205'!$P$42</definedName>
    <definedName name="OSRRefP22x_0" localSheetId="46">'206'!$P$20:$P$27,'206'!$P$29:$P$32,'206'!$P$34,'206'!$P$36,'206'!$P$38,'206'!$P$40,'206'!$P$42</definedName>
    <definedName name="OSRRefP22x_0" localSheetId="48">'300'!$P$128:$P$137,'300'!$P$139:$P$145,'300'!$P$147,'300'!$P$149:$P$150,'300'!$P$152,'300'!$P$154:$P$155,'300'!$P$157:$P$158,'300'!$P$160,'300'!$P$162,'300'!$P$164,'300'!$P$166:$P$167,'300'!$P$169,'300'!$P$171,'300'!$P$173:$P$174,'300'!$P$176,'300'!$P$178,'300'!$P$180:$P$183,'300'!$P$185:$P$187,'300'!$P$189:$P$192,'300'!$P$194:$P$195,'300'!$P$197:$P$203,'300'!$P$205:$P$206,'300'!$P$208,'300'!$P$210:$P$212,'300'!$P$214</definedName>
    <definedName name="OSRRefP22x_0" localSheetId="49">'300 &amp; 317'!$P$150:$P$159,'300 &amp; 317'!$P$161:$P$167,'300 &amp; 317'!$P$169,'300 &amp; 317'!$P$171:$P$172,'300 &amp; 317'!$P$174,'300 &amp; 317'!$P$176:$P$177,'300 &amp; 317'!$P$179:$P$180,'300 &amp; 317'!$P$182,'300 &amp; 317'!$P$184,'300 &amp; 317'!$P$186,'300 &amp; 317'!$P$188:$P$189,'300 &amp; 317'!$P$191,'300 &amp; 317'!$P$193,'300 &amp; 317'!$P$195:$P$196,'300 &amp; 317'!$P$198,'300 &amp; 317'!$P$200,'300 &amp; 317'!$P$202:$P$205,'300 &amp; 317'!$P$207:$P$209,'300 &amp; 317'!$P$211:$P$214,'300 &amp; 317'!$P$216:$P$217,'300 &amp; 317'!$P$219:$P$225,'300 &amp; 317'!$P$227:$P$228,'300 &amp; 317'!$P$230,'300 &amp; 317'!$P$232:$P$234,'300 &amp; 317'!$P$236</definedName>
    <definedName name="OSRRefP22x_0" localSheetId="50">'301'!$P$21:$P$30,'301'!$P$32:$P$38,'301'!$P$40,'301'!$P$42:$P$43,'301'!$P$45,'301'!$P$47:$P$48,'301'!$P$50:$P$51,'301'!$P$53,'301'!$P$55,'301'!$P$57,'301'!$P$59,'301'!$P$61,'301'!$P$63,'301'!$P$65,'301'!$P$67,'301'!$P$69:$P$72,'301'!$P$74:$P$76,'301'!$P$78,'301'!$P$80:$P$85,'301'!$P$87,'301'!$P$89,'301'!$P$91:$P$92,'301'!$P$94</definedName>
    <definedName name="OSRRefP22x_0" localSheetId="51">'306'!$P$20:$P$23,'306'!$P$25:$P$26,'306'!$P$28,'306'!$P$30,'306'!$P$32,'306'!$P$34</definedName>
    <definedName name="OSRRefP22x_0" localSheetId="56">'307'!$P$43:$P$45,'307'!$P$47:$P$50,'307'!$P$52,'307'!$P$54,'307'!$P$56:$P$57,'307'!$P$59,'307'!$P$61,'307'!$P$63,'307'!$P$65:$P$66,'307'!$P$68:$P$69,'307'!$P$71,'307'!$P$73:$P$76,'307'!$P$78,'307'!$P$80</definedName>
    <definedName name="OSRRefP22x_0" localSheetId="52">'308'!$P$62:$P$70,'308'!$P$72:$P$78,'308'!$P$80,'308'!$P$82:$P$83,'308'!$P$85,'308'!$P$87,'308'!$P$89:$P$90,'308'!$P$92,'308'!$P$94,'308'!$P$96:$P$98,'308'!$P$100:$P$101,'308'!$P$103:$P$104,'308'!$P$106:$P$107,'308'!$P$109</definedName>
    <definedName name="OSRRefP22x_0" localSheetId="65">'309'!$P$26:$P$27,'309'!$P$29:$P$30,'309'!$P$32,'309'!$P$34,'309'!$P$36,'309'!$P$38,'309'!$P$40,'309'!$P$42,'309'!$P$44:$P$45,'309'!$P$47:$P$48,'309'!$P$50:$P$51,'309'!$P$53,'309'!$P$55</definedName>
    <definedName name="OSRRefP22x_0" localSheetId="64">'310'!$P$34:$P$42,'310'!$P$44:$P$49,'310'!$P$51,'310'!$P$53,'310'!$P$55,'310'!$P$57:$P$58,'310'!$P$60,'310'!$P$62,'310'!$P$64,'310'!$P$66,'310'!$P$68,'310'!$P$70:$P$71,'310'!$P$73,'310'!$P$75:$P$78,'310'!$P$80:$P$85,'310'!$P$87,'310'!$P$89,'310'!$P$91</definedName>
    <definedName name="OSRRefP22x_0" localSheetId="72">'310 &amp; 491'!$P$36:$P$44,'310 &amp; 491'!$P$46:$P$52,'310 &amp; 491'!$P$54,'310 &amp; 491'!$P$56,'310 &amp; 491'!$P$58,'310 &amp; 491'!$P$60:$P$61,'310 &amp; 491'!$P$63,'310 &amp; 491'!$P$65,'310 &amp; 491'!$P$67:$P$68,'310 &amp; 491'!$P$70,'310 &amp; 491'!$P$72,'310 &amp; 491'!$P$74,'310 &amp; 491'!$P$76,'310 &amp; 491'!$P$78:$P$80,'310 &amp; 491'!$P$82,'310 &amp; 491'!$P$84:$P$87,'310 &amp; 491'!$P$89,'310 &amp; 491'!$P$91:$P$99,'310 &amp; 491'!$P$101,'310 &amp; 491'!$P$103,'310 &amp; 491'!$P$105:$P$106,'310 &amp; 491'!$P$108</definedName>
    <definedName name="OSRRefP22x_0" localSheetId="53">'311'!$P$62:$P$70,'311'!$P$72:$P$78,'311'!$P$80,'311'!$P$82:$P$83,'311'!$P$85,'311'!$P$87,'311'!$P$89:$P$90,'311'!$P$92,'311'!$P$94,'311'!$P$96:$P$98,'311'!$P$100:$P$101,'311'!$P$103:$P$104,'311'!$P$106:$P$107,'311'!$P$109</definedName>
    <definedName name="OSRRefP22x_0" localSheetId="66">'313'!$P$25:$P$32,'313'!$P$34,'313'!$P$36,'313'!$P$38,'313'!$P$40,'313'!$P$42,'313'!$P$44,'313'!$P$46</definedName>
    <definedName name="OSRRefP22x_0" localSheetId="58">'315'!$P$87:$P$94,'315'!$P$96:$P$101,'315'!$P$103,'315'!$P$105:$P$106,'315'!$P$108,'315'!$P$110,'315'!$P$112:$P$113,'315'!$P$115,'315'!$P$117:$P$118,'315'!$P$120,'315'!$P$122:$P$123,'315'!$P$125:$P$126,'315'!$P$128:$P$129,'315'!$P$131:$P$135,'315'!$P$137,'315'!$P$139,'315'!$P$141</definedName>
    <definedName name="OSRRefP22x_0" localSheetId="61">'316'!$P$34:$P$41,'316'!$P$43:$P$45,'316'!$P$47,'316'!$P$49,'316'!$P$51,'316'!$P$53,'316'!$P$55:$P$56,'316'!$P$58,'316'!$P$60:$P$62,'316'!$P$64,'316'!$P$66:$P$70,'316'!$P$72,'316'!$P$74</definedName>
    <definedName name="OSRRefP22x_0" localSheetId="63">'317'!$P$54:$P$62,'317'!$P$64:$P$68,'317'!$P$70,'317'!$P$72,'317'!$P$74,'317'!$P$76:$P$77,'317'!$P$79,'317'!$P$81,'317'!$P$83:$P$85,'317'!$P$87,'317'!$P$89</definedName>
    <definedName name="OSRRefP22x_0" localSheetId="67">'321'!$P$27:$P$35,'321'!$P$37:$P$42,'321'!$P$44,'321'!$P$46,'321'!$P$48,'321'!$P$50,'321'!$P$52,'321'!$P$54:$P$55,'321'!$P$57,'321'!$P$59:$P$60,'321'!$P$62:$P$66,'321'!$P$68,'321'!$P$70,'321'!$P$72</definedName>
    <definedName name="OSRRefP22x_0" localSheetId="68">'322'!$P$21:$P$25,'322'!$P$27,'322'!$P$29,'322'!$P$31,'322'!$P$33:$P$34,'322'!$P$36,'322'!$P$38,'322'!$P$40</definedName>
    <definedName name="OSRRefP22x_0" localSheetId="69">'325'!$P$24:$P$31,'325'!$P$33:$P$35,'325'!$P$37,'325'!$P$39,'325'!$P$41,'325'!$P$43:$P$44,'325'!$P$46,'325'!$P$48,'325'!$P$50,'325'!$P$52,'325'!$P$54:$P$55,'325'!$P$57:$P$60,'325'!$P$62:$P$66,'325'!$P$68,'325'!$P$70,'325'!$P$72</definedName>
    <definedName name="OSRRefP22x_0" localSheetId="59">'326'!$P$52:$P$59,'326'!$P$61:$P$66,'326'!$P$68,'326'!$P$70,'326'!$P$72,'326'!$P$74,'326'!$P$76,'326'!$P$78,'326'!$P$80,'326'!$P$82,'326'!$P$84,'326'!$P$86:$P$88,'326'!$P$90:$P$92,'326'!$P$94:$P$95,'326'!$P$97:$P$100,'326'!$P$102,'326'!$P$104,'326'!$P$106</definedName>
    <definedName name="OSRRefP22x_0" localSheetId="70">'327'!$P$24,'327'!$P$26</definedName>
    <definedName name="OSRRefP22x_0" localSheetId="55">'331'!$P$88:$P$95,'331'!$P$97:$P$102,'331'!$P$104,'331'!$P$106,'331'!$P$108,'331'!$P$110:$P$111,'331'!$P$113,'331'!$P$115,'331'!$P$117:$P$118,'331'!$P$120,'331'!$P$122,'331'!$P$124:$P$125,'331'!$P$127,'331'!$P$129,'331'!$P$131:$P$133,'331'!$P$135:$P$136,'331'!$P$138:$P$140,'331'!$P$142:$P$143,'331'!$P$145:$P$150,'331'!$P$152,'331'!$P$154,'331'!$P$156,'331'!$P$158</definedName>
    <definedName name="OSRRefP22x_0" localSheetId="60">'332'!$P$36:$P$43,'332'!$P$45:$P$47,'332'!$P$49,'332'!$P$51,'332'!$P$53,'332'!$P$55,'332'!$P$57:$P$58,'332'!$P$60,'332'!$P$62:$P$64,'332'!$P$66,'332'!$P$68:$P$72,'332'!$P$74,'332'!$P$76</definedName>
    <definedName name="OSRRefP22x_0" localSheetId="57">'333'!$P$90:$P$97,'333'!$P$99:$P$104,'333'!$P$106,'333'!$P$108,'333'!$P$110,'333'!$P$112:$P$113,'333'!$P$115,'333'!$P$117,'333'!$P$119:$P$120,'333'!$P$122,'333'!$P$124,'333'!$P$126:$P$127,'333'!$P$129,'333'!$P$131,'333'!$P$133:$P$135,'333'!$P$137:$P$138,'333'!$P$140:$P$143,'333'!$P$145:$P$146,'333'!$P$148:$P$153,'333'!$P$155,'333'!$P$157,'333'!$P$159,'333'!$P$161</definedName>
    <definedName name="OSRRefP22x_0" localSheetId="74">'405'!$P$24:$P$31,'405'!$P$33:$P$36,'405'!$P$38,'405'!$P$40,'405'!$P$42,'405'!$P$44:$P$45,'405'!$P$47,'405'!$P$49,'405'!$P$51,'405'!$P$53,'405'!$P$55:$P$56,'405'!$P$58:$P$61,'405'!$P$63,'405'!$P$65:$P$72,'405'!$P$74,'405'!$P$76,'405'!$P$78</definedName>
    <definedName name="OSRRefP22x_0" localSheetId="75">'406'!$P$20,'406'!$P$22,'406'!$P$24,'406'!$P$26,'406'!$P$28</definedName>
    <definedName name="OSRRefP22x_0" localSheetId="76">'411'!$P$20:$P$27,'411'!$P$29:$P$33,'411'!$P$35,'411'!$P$37:$P$38,'411'!$P$40,'411'!$P$42,'411'!$P$44,'411'!$P$46,'411'!$P$48,'411'!$P$50:$P$52,'411'!$P$54:$P$56,'411'!$P$58:$P$59,'411'!$P$61,'411'!$P$63:$P$64,'411'!$P$66</definedName>
    <definedName name="OSRRefP22x_0" localSheetId="77">'412'!$P$20,'412'!$P$22,'412'!$P$24:$P$25,'412'!$P$27,'412'!$P$29</definedName>
    <definedName name="OSRRefP22x_0" localSheetId="78">'413'!$P$20:$P$24,'413'!$P$26,'413'!$P$28,'413'!$P$30,'413'!$P$32,'413'!$P$34</definedName>
    <definedName name="OSRRefP22x_0" localSheetId="79">'414'!$P$22,'414'!$P$24,'414'!$P$26,'414'!$P$28,'414'!$P$30,'414'!$P$32:$P$33</definedName>
    <definedName name="OSRRefP22x_0" localSheetId="80">'415'!$P$24:$P$31,'415'!$P$33:$P$37,'415'!$P$39,'415'!$P$41,'415'!$P$43,'415'!$P$45:$P$46,'415'!$P$48,'415'!$P$50,'415'!$P$52,'415'!$P$54,'415'!$P$56,'415'!$P$58:$P$59,'415'!$P$61:$P$64,'415'!$P$66,'415'!$P$68:$P$73,'415'!$P$75,'415'!$P$77,'415'!$P$79</definedName>
    <definedName name="OSRRefP22x_0" localSheetId="81">'418'!$P$21:$P$28,'418'!$P$30:$P$33,'418'!$P$35,'418'!$P$37,'418'!$P$39:$P$40,'418'!$P$42,'418'!$P$44,'418'!$P$46,'418'!$P$48:$P$49,'418'!$P$51,'418'!$P$53,'418'!$P$55:$P$59,'418'!$P$61,'418'!$P$63</definedName>
    <definedName name="OSRRefP22x_0" localSheetId="82">'420'!$P$21</definedName>
    <definedName name="OSRRefP22x_0" localSheetId="83">'423'!$P$20:$P$21,'423'!$P$23,'423'!$P$25,'423'!$P$27</definedName>
    <definedName name="OSRRefP22x_0" localSheetId="84">'424'!$P$20,'424'!$P$22,'424'!$P$24,'424'!$P$26</definedName>
    <definedName name="OSRRefP22x_0" localSheetId="85">'425'!$P$22:$P$26,'425'!$P$28,'425'!$P$30,'425'!$P$32,'425'!$P$34,'425'!$P$36:$P$37,'425'!$P$39,'425'!$P$41,'425'!$P$43</definedName>
    <definedName name="OSRRefP22x_0" localSheetId="88">'430'!$P$20:$P$27,'430'!$P$29,'430'!$P$31,'430'!$P$33,'430'!$P$35,'430'!$P$37:$P$38,'430'!$P$40,'430'!$P$42,'430'!$P$44</definedName>
    <definedName name="OSRRefP22x_0" localSheetId="89">'433'!$P$25:$P$33,'433'!$P$35:$P$39,'433'!$P$41,'433'!$P$43,'433'!$P$45,'433'!$P$47,'433'!$P$49,'433'!$P$51,'433'!$P$53,'433'!$P$55,'433'!$P$57,'433'!$P$59:$P$60,'433'!$P$62:$P$64,'433'!$P$66:$P$73,'433'!$P$75</definedName>
    <definedName name="OSRRefP22x_0" localSheetId="90">'435'!$P$20,'435'!$P$22</definedName>
    <definedName name="OSRRefP22x_0" localSheetId="91">'444'!$P$25:$P$33,'444'!$P$35:$P$40,'444'!$P$42,'444'!$P$44,'444'!$P$46,'444'!$P$48,'444'!$P$50,'444'!$P$52,'444'!$P$54,'444'!$P$56,'444'!$P$58,'444'!$P$60:$P$61,'444'!$P$63:$P$66,'444'!$P$68,'444'!$P$70:$P$77,'444'!$P$79,'444'!$P$81</definedName>
    <definedName name="OSRRefP22x_0" localSheetId="92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3">'491'!$P$27:$P$34,'491'!$P$36:$P$41,'491'!$P$43,'491'!$P$45,'491'!$P$47,'491'!$P$49:$P$50,'491'!$P$52,'491'!$P$54,'491'!$P$56,'491'!$P$58,'491'!$P$60,'491'!$P$62,'491'!$P$64,'491'!$P$66:$P$68,'491'!$P$70,'491'!$P$72:$P$75,'491'!$P$77,'491'!$P$79:$P$87,'491'!$P$89,'491'!$P$91,'491'!$P$93:$P$94,'491'!$P$96</definedName>
    <definedName name="OSRRefP22x_0" localSheetId="87">'492'!$P$25:$P$33,'492'!$P$35:$P$41,'492'!$P$43,'492'!$P$45,'492'!$P$47,'492'!$P$49,'492'!$P$51,'492'!$P$53,'492'!$P$55,'492'!$P$57,'492'!$P$59,'492'!$P$61,'492'!$P$63:$P$65,'492'!$P$67:$P$70,'492'!$P$72,'492'!$P$74:$P$81,'492'!$P$83,'492'!$P$85,'492'!$P$87:$P$88</definedName>
    <definedName name="OSRRefP22x_0" localSheetId="94">'501'!$P$21:$P$29,'501'!$P$31:$P$36,'501'!$P$38,'501'!$P$40,'501'!$P$42:$P$43,'501'!$P$45,'501'!$P$47,'501'!$P$49:$P$52,'501'!$P$54:$P$55,'501'!$P$57,'501'!$P$59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2'!$P$71:$P$72,'Div 2'!$P$74:$P$78,'Div 2'!$P$80:$P$81,'Div 2'!$P$83,'Div 2'!$P$85:$P$86</definedName>
    <definedName name="OSRRefP22x_0" localSheetId="47">'Div 3'!$P$135:$P$144,'Div 3'!$P$146:$P$152,'Div 3'!$P$154,'Div 3'!$P$156:$P$157,'Div 3'!$P$159,'Div 3'!$P$161:$P$162,'Div 3'!$P$164:$P$165,'Div 3'!$P$167,'Div 3'!$P$169,'Div 3'!$P$171,'Div 3'!$P$173:$P$174,'Div 3'!$P$176,'Div 3'!$P$178,'Div 3'!$P$180,'Div 3'!$P$182:$P$183,'Div 3'!$P$185,'Div 3'!$P$187,'Div 3'!$P$189:$P$192,'Div 3'!$P$194:$P$196,'Div 3'!$P$198:$P$202,'Div 3'!$P$204:$P$205,'Div 3'!$P$207:$P$213,'Div 3'!$P$215:$P$216,'Div 3'!$P$218,'Div 3'!$P$220:$P$222,'Div 3'!$P$224</definedName>
    <definedName name="OSRRefP22x_0" localSheetId="71">'Div 4'!$P$28:$P$36,'Div 4'!$P$38:$P$44,'Div 4'!$P$46,'Div 4'!$P$48,'Div 4'!$P$50,'Div 4'!$P$52:$P$53,'Div 4'!$P$55,'Div 4'!$P$57,'Div 4'!$P$59,'Div 4'!$P$61,'Div 4'!$P$63,'Div 4'!$P$65,'Div 4'!$P$67,'Div 4'!$P$69,'Div 4'!$P$71,'Div 4'!$P$73:$P$75,'Div 4'!$P$77,'Div 4'!$P$79:$P$82,'Div 4'!$P$84:$P$85,'Div 4'!$P$87:$P$95,'Div 4'!$P$97,'Div 4'!$P$99,'Div 4'!$P$101:$P$102,'Div 4'!$P$104</definedName>
    <definedName name="OSRRefP22x_0" localSheetId="93">'Div 5'!$P$21:$P$29,'Div 5'!$P$31:$P$36,'Div 5'!$P$38,'Div 5'!$P$40,'Div 5'!$P$42:$P$43,'Div 5'!$P$45,'Div 5'!$P$47,'Div 5'!$P$49:$P$52,'Div 5'!$P$54:$P$55,'Div 5'!$P$57,'Div 5'!$P$59</definedName>
    <definedName name="OSRRefP22x_0" localSheetId="62">'Div 6'!$P$54:$P$62,'Div 6'!$P$64:$P$68,'Div 6'!$P$70,'Div 6'!$P$72,'Div 6'!$P$74,'Div 6'!$P$76:$P$77,'Div 6'!$P$79,'Div 6'!$P$81,'Div 6'!$P$83:$P$85,'Div 6'!$P$87,'Div 6'!$P$89</definedName>
    <definedName name="OSRRefP22x_0" localSheetId="2">Summary!$P$159:$P$168,Summary!$P$170:$P$176,Summary!$P$178,Summary!$P$180:$P$181,Summary!$P$183,Summary!$P$185:$P$186,Summary!$P$188:$P$189,Summary!$P$191,Summary!$P$193,Summary!$P$195,Summary!$P$197:$P$198,Summary!$P$200,Summary!$P$202,Summary!$P$204,Summary!$P$206:$P$207,Summary!$P$209,Summary!$P$211,Summary!$P$213,Summary!$P$215:$P$218,Summary!$P$220:$P$222,Summary!$P$224:$P$228,Summary!$P$230:$P$231,Summary!$P$233:$P$241,Summary!$P$243:$P$244,Summary!$P$246,Summary!$P$248:$P$250,Summary!$P$252</definedName>
    <definedName name="OSRRefP25x_0" localSheetId="48">'300'!$P$217:$P$220</definedName>
    <definedName name="OSRRefP25x_0" localSheetId="49">'300 &amp; 317'!$P$239:$P$244</definedName>
    <definedName name="OSRRefP25x_0" localSheetId="50">'301'!$P$97</definedName>
    <definedName name="OSRRefP25x_0" localSheetId="52">'308'!$P$112:$P$114</definedName>
    <definedName name="OSRRefP25x_0" localSheetId="72">'310 &amp; 491'!$P$111:$P$113</definedName>
    <definedName name="OSRRefP25x_0" localSheetId="53">'311'!$P$112:$P$114</definedName>
    <definedName name="OSRRefP25x_0" localSheetId="58">'315'!$P$144:$P$145</definedName>
    <definedName name="OSRRefP25x_0" localSheetId="61">'316'!$P$77</definedName>
    <definedName name="OSRRefP25x_0" localSheetId="63">'317'!$P$92:$P$94</definedName>
    <definedName name="OSRRefP25x_0" localSheetId="55">'331'!$P$161:$P$162</definedName>
    <definedName name="OSRRefP25x_0" localSheetId="60">'332'!$P$79:$P$80</definedName>
    <definedName name="OSRRefP25x_0" localSheetId="57">'333'!$P$164:$P$165</definedName>
    <definedName name="OSRRefP25x_0" localSheetId="74">'405'!$P$81</definedName>
    <definedName name="OSRRefP25x_0" localSheetId="76">'411'!$P$69:$P$70</definedName>
    <definedName name="OSRRefP25x_0" localSheetId="80">'415'!$P$82</definedName>
    <definedName name="OSRRefP25x_0" localSheetId="81">'418'!$P$66</definedName>
    <definedName name="OSRRefP25x_0" localSheetId="83">'423'!$P$30</definedName>
    <definedName name="OSRRefP25x_0" localSheetId="86">'455'!$P$21:$P$22</definedName>
    <definedName name="OSRRefP25x_0" localSheetId="73">'491'!$P$99:$P$101</definedName>
    <definedName name="OSRRefP25x_0" localSheetId="94">'501'!$P$62</definedName>
    <definedName name="OSRRefP25x_0" localSheetId="47">'Div 3'!$P$227:$P$230</definedName>
    <definedName name="OSRRefP25x_0" localSheetId="71">'Div 4'!$P$107:$P$109</definedName>
    <definedName name="OSRRefP25x_0" localSheetId="93">'Div 5'!$P$62</definedName>
    <definedName name="OSRRefP25x_0" localSheetId="62">'Div 6'!$P$92:$P$94</definedName>
    <definedName name="OSRRefP25x_0" localSheetId="2">Summary!$P$255:$P$262</definedName>
    <definedName name="OSRRefT13x_0" localSheetId="48">'300'!$T$13:$T$79</definedName>
    <definedName name="OSRRefT13x_0" localSheetId="49">'300 &amp; 317'!$T$13:$T$93</definedName>
    <definedName name="OSRRefT13x_0" localSheetId="56">'307'!$T$13:$T$25</definedName>
    <definedName name="OSRRefT13x_0" localSheetId="52">'308'!$T$13:$T$37</definedName>
    <definedName name="OSRRefT13x_0" localSheetId="65">'309'!$T$13:$T$16</definedName>
    <definedName name="OSRRefT13x_0" localSheetId="64">'310'!$T$13:$T$23</definedName>
    <definedName name="OSRRefT13x_0" localSheetId="72">'310 &amp; 491'!$T$13:$T$25</definedName>
    <definedName name="OSRRefT13x_0" localSheetId="53">'311'!$T$13:$T$37</definedName>
    <definedName name="OSRRefT13x_0" localSheetId="66">'313'!$T$13:$T$16</definedName>
    <definedName name="OSRRefT13x_0" localSheetId="58">'315'!$T$13:$T$54</definedName>
    <definedName name="OSRRefT13x_0" localSheetId="61">'316'!$T$13:$T$25</definedName>
    <definedName name="OSRRefT13x_0" localSheetId="63">'317'!$T$13:$T$33</definedName>
    <definedName name="OSRRefT13x_0" localSheetId="67">'321'!$T$13:$T$16</definedName>
    <definedName name="OSRRefT13x_0" localSheetId="54">'324'!$T$13:$T$16</definedName>
    <definedName name="OSRRefT13x_0" localSheetId="69">'325'!$T$13:$T$14</definedName>
    <definedName name="OSRRefT13x_0" localSheetId="59">'326'!$T$13:$T$36</definedName>
    <definedName name="OSRRefT13x_0" localSheetId="70">'327'!$T$13:$T$14</definedName>
    <definedName name="OSRRefT13x_0" localSheetId="55">'331'!$T$13:$T$54</definedName>
    <definedName name="OSRRefT13x_0" localSheetId="60">'332'!$T$13:$T$25</definedName>
    <definedName name="OSRRefT13x_0" localSheetId="57">'333'!$T$13:$T$56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2">'420'!$T$13</definedName>
    <definedName name="OSRRefT13x_0" localSheetId="85">'425'!$T$13</definedName>
    <definedName name="OSRRefT13x_0" localSheetId="89">'433'!$T$13:$T$15</definedName>
    <definedName name="OSRRefT13x_0" localSheetId="91">'444'!$T$13:$T$15</definedName>
    <definedName name="OSRRefT13x_0" localSheetId="92">'450'!$T$13:$T$15</definedName>
    <definedName name="OSRRefT13x_0" localSheetId="73">'491'!$T$13:$T$17</definedName>
    <definedName name="OSRRefT13x_0" localSheetId="87">'492'!$T$13:$T$15</definedName>
    <definedName name="OSRRefT13x_0" localSheetId="94">'501'!$T$13</definedName>
    <definedName name="OSRRefT13x_0" localSheetId="47">'Div 3'!$T$13:$T$84</definedName>
    <definedName name="OSRRefT13x_0" localSheetId="71">'Div 4'!$T$13:$T$18</definedName>
    <definedName name="OSRRefT13x_0" localSheetId="93">'Div 5'!$T$13</definedName>
    <definedName name="OSRRefT13x_0" localSheetId="62">'Div 6'!$T$13:$T$33</definedName>
    <definedName name="OSRRefT13x_0" localSheetId="2">Summary!$T$13:$T$100</definedName>
    <definedName name="OSRRefT16x_0" localSheetId="48">'300'!$T$82:$T$122</definedName>
    <definedName name="OSRRefT16x_0" localSheetId="49">'300 &amp; 317'!$T$96:$T$144</definedName>
    <definedName name="OSRRefT16x_0" localSheetId="50">'301'!$T$15</definedName>
    <definedName name="OSRRefT16x_0" localSheetId="56">'307'!$T$28:$T$37</definedName>
    <definedName name="OSRRefT16x_0" localSheetId="52">'308'!$T$40:$T$56</definedName>
    <definedName name="OSRRefT16x_0" localSheetId="65">'309'!$T$19:$T$20</definedName>
    <definedName name="OSRRefT16x_0" localSheetId="64">'310'!$T$26:$T$28</definedName>
    <definedName name="OSRRefT16x_0" localSheetId="72">'310 &amp; 491'!$T$28:$T$30</definedName>
    <definedName name="OSRRefT16x_0" localSheetId="53">'311'!$T$40:$T$56</definedName>
    <definedName name="OSRRefT16x_0" localSheetId="66">'313'!$T$19</definedName>
    <definedName name="OSRRefT16x_0" localSheetId="58">'315'!$T$57:$T$81</definedName>
    <definedName name="OSRRefT16x_0" localSheetId="61">'316'!$T$28</definedName>
    <definedName name="OSRRefT16x_0" localSheetId="63">'317'!$T$36:$T$48</definedName>
    <definedName name="OSRRefT16x_0" localSheetId="67">'321'!$T$19:$T$21</definedName>
    <definedName name="OSRRefT16x_0" localSheetId="68">'322'!$T$15</definedName>
    <definedName name="OSRRefT16x_0" localSheetId="54">'324'!$T$19:$T$21</definedName>
    <definedName name="OSRRefT16x_0" localSheetId="69">'325'!$T$17:$T$18</definedName>
    <definedName name="OSRRefT16x_0" localSheetId="59">'326'!$T$39:$T$46</definedName>
    <definedName name="OSRRefT16x_0" localSheetId="70">'327'!$T$17:$T$18</definedName>
    <definedName name="OSRRefT16x_0" localSheetId="55">'331'!$T$57:$T$82</definedName>
    <definedName name="OSRRefT16x_0" localSheetId="60">'332'!$T$28:$T$30</definedName>
    <definedName name="OSRRefT16x_0" localSheetId="57">'333'!$T$59:$T$84</definedName>
    <definedName name="OSRRefT16x_0" localSheetId="74">'405'!$T$17:$T$18</definedName>
    <definedName name="OSRRefT16x_0" localSheetId="79">'414'!$T$16</definedName>
    <definedName name="OSRRefT16x_0" localSheetId="80">'415'!$T$17:$T$18</definedName>
    <definedName name="OSRRefT16x_0" localSheetId="81">'418'!$T$15</definedName>
    <definedName name="OSRRefT16x_0" localSheetId="85">'425'!$T$16</definedName>
    <definedName name="OSRRefT16x_0" localSheetId="89">'433'!$T$18:$T$19</definedName>
    <definedName name="OSRRefT16x_0" localSheetId="91">'444'!$T$18:$T$19</definedName>
    <definedName name="OSRRefT16x_0" localSheetId="92">'450'!$T$18:$T$19</definedName>
    <definedName name="OSRRefT16x_0" localSheetId="73">'491'!$T$20:$T$21</definedName>
    <definedName name="OSRRefT16x_0" localSheetId="87">'492'!$T$18:$T$19</definedName>
    <definedName name="OSRRefT16x_0" localSheetId="47">'Div 3'!$T$87:$T$129</definedName>
    <definedName name="OSRRefT16x_0" localSheetId="71">'Div 4'!$T$21:$T$22</definedName>
    <definedName name="OSRRefT16x_0" localSheetId="62">'Div 6'!$T$36:$T$48</definedName>
    <definedName name="OSRRefT16x_0" localSheetId="2">Summary!$T$103:$T$153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'300'!$T$128:$T$137</definedName>
    <definedName name="OSRRefT22_0x_0" localSheetId="49">'300 &amp; 317'!$T$150:$T$159</definedName>
    <definedName name="OSRRefT22_0x_0" localSheetId="50">'301'!$T$21:$T$30</definedName>
    <definedName name="OSRRefT22_0x_0" localSheetId="51">'306'!$T$20:$T$23</definedName>
    <definedName name="OSRRefT22_0x_0" localSheetId="56">'307'!$T$43:$T$45</definedName>
    <definedName name="OSRRefT22_0x_0" localSheetId="52">'308'!$T$62:$T$70</definedName>
    <definedName name="OSRRefT22_0x_0" localSheetId="65">'309'!$T$26:$T$27</definedName>
    <definedName name="OSRRefT22_0x_0" localSheetId="64">'310'!$T$34:$T$42</definedName>
    <definedName name="OSRRefT22_0x_0" localSheetId="72">'310 &amp; 491'!$T$36:$T$44</definedName>
    <definedName name="OSRRefT22_0x_0" localSheetId="53">'311'!$T$62:$T$70</definedName>
    <definedName name="OSRRefT22_0x_0" localSheetId="66">'313'!$T$25:$T$32</definedName>
    <definedName name="OSRRefT22_0x_0" localSheetId="58">'315'!$T$87:$T$94</definedName>
    <definedName name="OSRRefT22_0x_0" localSheetId="61">'316'!$T$34:$T$41</definedName>
    <definedName name="OSRRefT22_0x_0" localSheetId="63">'317'!$T$54:$T$62</definedName>
    <definedName name="OSRRefT22_0x_0" localSheetId="67">'321'!$T$27:$T$35</definedName>
    <definedName name="OSRRefT22_0x_0" localSheetId="68">'322'!$T$21:$T$25</definedName>
    <definedName name="OSRRefT22_0x_0" localSheetId="69">'325'!$T$24:$T$31</definedName>
    <definedName name="OSRRefT22_0x_0" localSheetId="59">'326'!$T$52:$T$59</definedName>
    <definedName name="OSRRefT22_0x_0" localSheetId="70">'327'!$T$24</definedName>
    <definedName name="OSRRefT22_0x_0" localSheetId="55">'331'!$T$88:$T$95</definedName>
    <definedName name="OSRRefT22_0x_0" localSheetId="60">'332'!$T$36:$T$43</definedName>
    <definedName name="OSRRefT22_0x_0" localSheetId="57">'333'!$T$90:$T$97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'414'!$T$22</definedName>
    <definedName name="OSRRefT22_0x_0" localSheetId="80">'415'!$T$24:$T$31</definedName>
    <definedName name="OSRRefT22_0x_0" localSheetId="81">'418'!$T$21:$T$28</definedName>
    <definedName name="OSRRefT22_0x_0" localSheetId="82">'420'!$T$21</definedName>
    <definedName name="OSRRefT22_0x_0" localSheetId="83">'423'!$T$20:$T$21</definedName>
    <definedName name="OSRRefT22_0x_0" localSheetId="84">'424'!$T$20</definedName>
    <definedName name="OSRRefT22_0x_0" localSheetId="85">'425'!$T$22:$T$26</definedName>
    <definedName name="OSRRefT22_0x_0" localSheetId="88">'430'!$T$20:$T$27</definedName>
    <definedName name="OSRRefT22_0x_0" localSheetId="89">'433'!$T$25:$T$33</definedName>
    <definedName name="OSRRefT22_0x_0" localSheetId="90">'435'!$T$20</definedName>
    <definedName name="OSRRefT22_0x_0" localSheetId="91">'444'!$T$25:$T$33</definedName>
    <definedName name="OSRRefT22_0x_0" localSheetId="92">'450'!$T$25:$T$33</definedName>
    <definedName name="OSRRefT22_0x_0" localSheetId="73">'491'!$T$27:$T$34</definedName>
    <definedName name="OSRRefT22_0x_0" localSheetId="87">'492'!$T$25:$T$33</definedName>
    <definedName name="OSRRefT22_0x_0" localSheetId="94">'501'!$T$21:$T$29</definedName>
    <definedName name="OSRRefT22_0x_0" localSheetId="39">'Div 2'!$T$20:$T$30</definedName>
    <definedName name="OSRRefT22_0x_0" localSheetId="47">'Div 3'!$T$135:$T$144</definedName>
    <definedName name="OSRRefT22_0x_0" localSheetId="71">'Div 4'!$T$28:$T$36</definedName>
    <definedName name="OSRRefT22_0x_0" localSheetId="93">'Div 5'!$T$21:$T$29</definedName>
    <definedName name="OSRRefT22_0x_0" localSheetId="62">'Div 6'!$T$54:$T$62</definedName>
    <definedName name="OSRRefT22_0x_0" localSheetId="2">Summary!$T$159:$T$168</definedName>
    <definedName name="OSRRefT22_10x_0" localSheetId="41">'201'!$T$52:$T$53</definedName>
    <definedName name="OSRRefT22_10x_0" localSheetId="42">'202'!$T$53</definedName>
    <definedName name="OSRRefT22_10x_0" localSheetId="43">'203'!$T$56:$T$59</definedName>
    <definedName name="OSRRefT22_10x_0" localSheetId="48">'300'!$T$166:$T$167</definedName>
    <definedName name="OSRRefT22_10x_0" localSheetId="49">'300 &amp; 317'!$T$188:$T$189</definedName>
    <definedName name="OSRRefT22_10x_0" localSheetId="50">'301'!$T$59</definedName>
    <definedName name="OSRRefT22_10x_0" localSheetId="56">'307'!$T$71</definedName>
    <definedName name="OSRRefT22_10x_0" localSheetId="52">'308'!$T$100:$T$101</definedName>
    <definedName name="OSRRefT22_10x_0" localSheetId="65">'309'!$T$50:$T$51</definedName>
    <definedName name="OSRRefT22_10x_0" localSheetId="64">'310'!$T$68</definedName>
    <definedName name="OSRRefT22_10x_0" localSheetId="72">'310 &amp; 491'!$T$72</definedName>
    <definedName name="OSRRefT22_10x_0" localSheetId="53">'311'!$T$100:$T$101</definedName>
    <definedName name="OSRRefT22_10x_0" localSheetId="58">'315'!$T$122:$T$123</definedName>
    <definedName name="OSRRefT22_10x_0" localSheetId="61">'316'!$T$66:$T$70</definedName>
    <definedName name="OSRRefT22_10x_0" localSheetId="63">'317'!$T$89</definedName>
    <definedName name="OSRRefT22_10x_0" localSheetId="67">'321'!$T$62:$T$66</definedName>
    <definedName name="OSRRefT22_10x_0" localSheetId="69">'325'!$T$54:$T$55</definedName>
    <definedName name="OSRRefT22_10x_0" localSheetId="59">'326'!$T$84</definedName>
    <definedName name="OSRRefT22_10x_0" localSheetId="55">'331'!$T$122</definedName>
    <definedName name="OSRRefT22_10x_0" localSheetId="60">'332'!$T$68:$T$72</definedName>
    <definedName name="OSRRefT22_10x_0" localSheetId="57">'333'!$T$124</definedName>
    <definedName name="OSRRefT22_10x_0" localSheetId="74">'405'!$T$55:$T$56</definedName>
    <definedName name="OSRRefT22_10x_0" localSheetId="76">'411'!$T$54:$T$56</definedName>
    <definedName name="OSRRefT22_10x_0" localSheetId="80">'415'!$T$56</definedName>
    <definedName name="OSRRefT22_10x_0" localSheetId="81">'418'!$T$53</definedName>
    <definedName name="OSRRefT22_10x_0" localSheetId="89">'433'!$T$57</definedName>
    <definedName name="OSRRefT22_10x_0" localSheetId="91">'444'!$T$58</definedName>
    <definedName name="OSRRefT22_10x_0" localSheetId="92">'450'!$T$57</definedName>
    <definedName name="OSRRefT22_10x_0" localSheetId="73">'491'!$T$60</definedName>
    <definedName name="OSRRefT22_10x_0" localSheetId="87">'492'!$T$59</definedName>
    <definedName name="OSRRefT22_10x_0" localSheetId="94">'501'!$T$59</definedName>
    <definedName name="OSRRefT22_10x_0" localSheetId="39">'Div 2'!$T$56</definedName>
    <definedName name="OSRRefT22_10x_0" localSheetId="47">'Div 3'!$T$173:$T$174</definedName>
    <definedName name="OSRRefT22_10x_0" localSheetId="71">'Div 4'!$T$63</definedName>
    <definedName name="OSRRefT22_10x_0" localSheetId="93">'Div 5'!$T$59</definedName>
    <definedName name="OSRRefT22_10x_0" localSheetId="62">'Div 6'!$T$89</definedName>
    <definedName name="OSRRefT22_10x_0" localSheetId="2">Summary!$T$197:$T$198</definedName>
    <definedName name="OSRRefT22_11x_0" localSheetId="41">'201'!$T$55</definedName>
    <definedName name="OSRRefT22_11x_0" localSheetId="42">'202'!$T$55</definedName>
    <definedName name="OSRRefT22_11x_0" localSheetId="43">'203'!$T$61</definedName>
    <definedName name="OSRRefT22_11x_0" localSheetId="48">'300'!$T$169</definedName>
    <definedName name="OSRRefT22_11x_0" localSheetId="49">'300 &amp; 317'!$T$191</definedName>
    <definedName name="OSRRefT22_11x_0" localSheetId="50">'301'!$T$61</definedName>
    <definedName name="OSRRefT22_11x_0" localSheetId="56">'307'!$T$73:$T$76</definedName>
    <definedName name="OSRRefT22_11x_0" localSheetId="52">'308'!$T$103:$T$104</definedName>
    <definedName name="OSRRefT22_11x_0" localSheetId="65">'309'!$T$53</definedName>
    <definedName name="OSRRefT22_11x_0" localSheetId="64">'310'!$T$70:$T$71</definedName>
    <definedName name="OSRRefT22_11x_0" localSheetId="72">'310 &amp; 491'!$T$74</definedName>
    <definedName name="OSRRefT22_11x_0" localSheetId="53">'311'!$T$103:$T$104</definedName>
    <definedName name="OSRRefT22_11x_0" localSheetId="58">'315'!$T$125:$T$126</definedName>
    <definedName name="OSRRefT22_11x_0" localSheetId="61">'316'!$T$72</definedName>
    <definedName name="OSRRefT22_11x_0" localSheetId="67">'321'!$T$68</definedName>
    <definedName name="OSRRefT22_11x_0" localSheetId="69">'325'!$T$57:$T$60</definedName>
    <definedName name="OSRRefT22_11x_0" localSheetId="59">'326'!$T$86:$T$88</definedName>
    <definedName name="OSRRefT22_11x_0" localSheetId="55">'331'!$T$124:$T$125</definedName>
    <definedName name="OSRRefT22_11x_0" localSheetId="60">'332'!$T$74</definedName>
    <definedName name="OSRRefT22_11x_0" localSheetId="57">'333'!$T$126:$T$127</definedName>
    <definedName name="OSRRefT22_11x_0" localSheetId="74">'405'!$T$58:$T$61</definedName>
    <definedName name="OSRRefT22_11x_0" localSheetId="76">'411'!$T$58:$T$59</definedName>
    <definedName name="OSRRefT22_11x_0" localSheetId="80">'415'!$T$58:$T$59</definedName>
    <definedName name="OSRRefT22_11x_0" localSheetId="81">'418'!$T$55:$T$59</definedName>
    <definedName name="OSRRefT22_11x_0" localSheetId="89">'433'!$T$59:$T$60</definedName>
    <definedName name="OSRRefT22_11x_0" localSheetId="91">'444'!$T$60:$T$61</definedName>
    <definedName name="OSRRefT22_11x_0" localSheetId="92">'450'!$T$59</definedName>
    <definedName name="OSRRefT22_11x_0" localSheetId="73">'491'!$T$62</definedName>
    <definedName name="OSRRefT22_11x_0" localSheetId="87">'492'!$T$61</definedName>
    <definedName name="OSRRefT22_11x_0" localSheetId="39">'Div 2'!$T$58</definedName>
    <definedName name="OSRRefT22_11x_0" localSheetId="47">'Div 3'!$T$176</definedName>
    <definedName name="OSRRefT22_11x_0" localSheetId="71">'Div 4'!$T$65</definedName>
    <definedName name="OSRRefT22_11x_0" localSheetId="2">Summary!$T$200</definedName>
    <definedName name="OSRRefT22_12x_0" localSheetId="41">'201'!$T$57:$T$58</definedName>
    <definedName name="OSRRefT22_12x_0" localSheetId="42">'202'!$T$57</definedName>
    <definedName name="OSRRefT22_12x_0" localSheetId="43">'203'!$T$63</definedName>
    <definedName name="OSRRefT22_12x_0" localSheetId="48">'300'!$T$171</definedName>
    <definedName name="OSRRefT22_12x_0" localSheetId="49">'300 &amp; 317'!$T$193</definedName>
    <definedName name="OSRRefT22_12x_0" localSheetId="50">'301'!$T$63</definedName>
    <definedName name="OSRRefT22_12x_0" localSheetId="56">'307'!$T$78</definedName>
    <definedName name="OSRRefT22_12x_0" localSheetId="52">'308'!$T$106:$T$107</definedName>
    <definedName name="OSRRefT22_12x_0" localSheetId="65">'309'!$T$55</definedName>
    <definedName name="OSRRefT22_12x_0" localSheetId="64">'310'!$T$73</definedName>
    <definedName name="OSRRefT22_12x_0" localSheetId="72">'310 &amp; 491'!$T$76</definedName>
    <definedName name="OSRRefT22_12x_0" localSheetId="53">'311'!$T$106:$T$107</definedName>
    <definedName name="OSRRefT22_12x_0" localSheetId="58">'315'!$T$128:$T$129</definedName>
    <definedName name="OSRRefT22_12x_0" localSheetId="61">'316'!$T$74</definedName>
    <definedName name="OSRRefT22_12x_0" localSheetId="67">'321'!$T$70</definedName>
    <definedName name="OSRRefT22_12x_0" localSheetId="69">'325'!$T$62:$T$66</definedName>
    <definedName name="OSRRefT22_12x_0" localSheetId="59">'326'!$T$90:$T$92</definedName>
    <definedName name="OSRRefT22_12x_0" localSheetId="55">'331'!$T$127</definedName>
    <definedName name="OSRRefT22_12x_0" localSheetId="60">'332'!$T$76</definedName>
    <definedName name="OSRRefT22_12x_0" localSheetId="57">'333'!$T$129</definedName>
    <definedName name="OSRRefT22_12x_0" localSheetId="74">'405'!$T$63</definedName>
    <definedName name="OSRRefT22_12x_0" localSheetId="76">'411'!$T$61</definedName>
    <definedName name="OSRRefT22_12x_0" localSheetId="80">'415'!$T$61:$T$64</definedName>
    <definedName name="OSRRefT22_12x_0" localSheetId="81">'418'!$T$61</definedName>
    <definedName name="OSRRefT22_12x_0" localSheetId="89">'433'!$T$62:$T$64</definedName>
    <definedName name="OSRRefT22_12x_0" localSheetId="91">'444'!$T$63:$T$66</definedName>
    <definedName name="OSRRefT22_12x_0" localSheetId="92">'450'!$T$61:$T$62</definedName>
    <definedName name="OSRRefT22_12x_0" localSheetId="73">'491'!$T$64</definedName>
    <definedName name="OSRRefT22_12x_0" localSheetId="87">'492'!$T$63:$T$65</definedName>
    <definedName name="OSRRefT22_12x_0" localSheetId="39">'Div 2'!$T$60:$T$62</definedName>
    <definedName name="OSRRefT22_12x_0" localSheetId="47">'Div 3'!$T$178</definedName>
    <definedName name="OSRRefT22_12x_0" localSheetId="71">'Div 4'!$T$67</definedName>
    <definedName name="OSRRefT22_12x_0" localSheetId="2">Summary!$T$202</definedName>
    <definedName name="OSRRefT22_13x_0" localSheetId="41">'201'!$T$60</definedName>
    <definedName name="OSRRefT22_13x_0" localSheetId="43">'203'!$T$65</definedName>
    <definedName name="OSRRefT22_13x_0" localSheetId="48">'300'!$T$173:$T$174</definedName>
    <definedName name="OSRRefT22_13x_0" localSheetId="49">'300 &amp; 317'!$T$195:$T$196</definedName>
    <definedName name="OSRRefT22_13x_0" localSheetId="50">'301'!$T$65</definedName>
    <definedName name="OSRRefT22_13x_0" localSheetId="56">'307'!$T$80</definedName>
    <definedName name="OSRRefT22_13x_0" localSheetId="52">'308'!$T$109</definedName>
    <definedName name="OSRRefT22_13x_0" localSheetId="64">'310'!$T$75:$T$78</definedName>
    <definedName name="OSRRefT22_13x_0" localSheetId="72">'310 &amp; 491'!$T$78:$T$80</definedName>
    <definedName name="OSRRefT22_13x_0" localSheetId="53">'311'!$T$109</definedName>
    <definedName name="OSRRefT22_13x_0" localSheetId="58">'315'!$T$131:$T$135</definedName>
    <definedName name="OSRRefT22_13x_0" localSheetId="67">'321'!$T$72</definedName>
    <definedName name="OSRRefT22_13x_0" localSheetId="69">'325'!$T$68</definedName>
    <definedName name="OSRRefT22_13x_0" localSheetId="59">'326'!$T$94:$T$95</definedName>
    <definedName name="OSRRefT22_13x_0" localSheetId="55">'331'!$T$129</definedName>
    <definedName name="OSRRefT22_13x_0" localSheetId="57">'333'!$T$131</definedName>
    <definedName name="OSRRefT22_13x_0" localSheetId="74">'405'!$T$65:$T$72</definedName>
    <definedName name="OSRRefT22_13x_0" localSheetId="76">'411'!$T$63:$T$64</definedName>
    <definedName name="OSRRefT22_13x_0" localSheetId="80">'415'!$T$66</definedName>
    <definedName name="OSRRefT22_13x_0" localSheetId="81">'418'!$T$63</definedName>
    <definedName name="OSRRefT22_13x_0" localSheetId="89">'433'!$T$66:$T$73</definedName>
    <definedName name="OSRRefT22_13x_0" localSheetId="91">'444'!$T$68</definedName>
    <definedName name="OSRRefT22_13x_0" localSheetId="92">'450'!$T$64:$T$66</definedName>
    <definedName name="OSRRefT22_13x_0" localSheetId="73">'491'!$T$66:$T$68</definedName>
    <definedName name="OSRRefT22_13x_0" localSheetId="87">'492'!$T$67:$T$70</definedName>
    <definedName name="OSRRefT22_13x_0" localSheetId="39">'Div 2'!$T$64:$T$67</definedName>
    <definedName name="OSRRefT22_13x_0" localSheetId="47">'Div 3'!$T$180</definedName>
    <definedName name="OSRRefT22_13x_0" localSheetId="71">'Div 4'!$T$69</definedName>
    <definedName name="OSRRefT22_13x_0" localSheetId="2">Summary!$T$204</definedName>
    <definedName name="OSRRefT22_14x_0" localSheetId="41">'201'!$T$62</definedName>
    <definedName name="OSRRefT22_14x_0" localSheetId="48">'300'!$T$176</definedName>
    <definedName name="OSRRefT22_14x_0" localSheetId="49">'300 &amp; 317'!$T$198</definedName>
    <definedName name="OSRRefT22_14x_0" localSheetId="50">'301'!$T$67</definedName>
    <definedName name="OSRRefT22_14x_0" localSheetId="64">'310'!$T$80:$T$85</definedName>
    <definedName name="OSRRefT22_14x_0" localSheetId="72">'310 &amp; 491'!$T$82</definedName>
    <definedName name="OSRRefT22_14x_0" localSheetId="58">'315'!$T$137</definedName>
    <definedName name="OSRRefT22_14x_0" localSheetId="69">'325'!$T$70</definedName>
    <definedName name="OSRRefT22_14x_0" localSheetId="59">'326'!$T$97:$T$100</definedName>
    <definedName name="OSRRefT22_14x_0" localSheetId="55">'331'!$T$131:$T$133</definedName>
    <definedName name="OSRRefT22_14x_0" localSheetId="57">'333'!$T$133:$T$135</definedName>
    <definedName name="OSRRefT22_14x_0" localSheetId="74">'405'!$T$74</definedName>
    <definedName name="OSRRefT22_14x_0" localSheetId="76">'411'!$T$66</definedName>
    <definedName name="OSRRefT22_14x_0" localSheetId="80">'415'!$T$68:$T$73</definedName>
    <definedName name="OSRRefT22_14x_0" localSheetId="89">'433'!$T$75</definedName>
    <definedName name="OSRRefT22_14x_0" localSheetId="91">'444'!$T$70:$T$77</definedName>
    <definedName name="OSRRefT22_14x_0" localSheetId="92">'450'!$T$68:$T$73</definedName>
    <definedName name="OSRRefT22_14x_0" localSheetId="73">'491'!$T$70</definedName>
    <definedName name="OSRRefT22_14x_0" localSheetId="87">'492'!$T$72</definedName>
    <definedName name="OSRRefT22_14x_0" localSheetId="39">'Div 2'!$T$69</definedName>
    <definedName name="OSRRefT22_14x_0" localSheetId="47">'Div 3'!$T$182:$T$183</definedName>
    <definedName name="OSRRefT22_14x_0" localSheetId="71">'Div 4'!$T$71</definedName>
    <definedName name="OSRRefT22_14x_0" localSheetId="2">Summary!$T$206:$T$207</definedName>
    <definedName name="OSRRefT22_15x_0" localSheetId="48">'300'!$T$178</definedName>
    <definedName name="OSRRefT22_15x_0" localSheetId="49">'300 &amp; 317'!$T$200</definedName>
    <definedName name="OSRRefT22_15x_0" localSheetId="50">'301'!$T$69:$T$72</definedName>
    <definedName name="OSRRefT22_15x_0" localSheetId="64">'310'!$T$87</definedName>
    <definedName name="OSRRefT22_15x_0" localSheetId="72">'310 &amp; 491'!$T$84:$T$87</definedName>
    <definedName name="OSRRefT22_15x_0" localSheetId="58">'315'!$T$139</definedName>
    <definedName name="OSRRefT22_15x_0" localSheetId="69">'325'!$T$72</definedName>
    <definedName name="OSRRefT22_15x_0" localSheetId="59">'326'!$T$102</definedName>
    <definedName name="OSRRefT22_15x_0" localSheetId="55">'331'!$T$135:$T$136</definedName>
    <definedName name="OSRRefT22_15x_0" localSheetId="57">'333'!$T$137:$T$138</definedName>
    <definedName name="OSRRefT22_15x_0" localSheetId="74">'405'!$T$76</definedName>
    <definedName name="OSRRefT22_15x_0" localSheetId="80">'415'!$T$75</definedName>
    <definedName name="OSRRefT22_15x_0" localSheetId="91">'444'!$T$79</definedName>
    <definedName name="OSRRefT22_15x_0" localSheetId="92">'450'!$T$75</definedName>
    <definedName name="OSRRefT22_15x_0" localSheetId="73">'491'!$T$72:$T$75</definedName>
    <definedName name="OSRRefT22_15x_0" localSheetId="87">'492'!$T$74:$T$81</definedName>
    <definedName name="OSRRefT22_15x_0" localSheetId="39">'Div 2'!$T$71:$T$72</definedName>
    <definedName name="OSRRefT22_15x_0" localSheetId="47">'Div 3'!$T$185</definedName>
    <definedName name="OSRRefT22_15x_0" localSheetId="71">'Div 4'!$T$73:$T$75</definedName>
    <definedName name="OSRRefT22_15x_0" localSheetId="2">Summary!$T$209</definedName>
    <definedName name="OSRRefT22_16x_0" localSheetId="48">'300'!$T$180:$T$183</definedName>
    <definedName name="OSRRefT22_16x_0" localSheetId="49">'300 &amp; 317'!$T$202:$T$205</definedName>
    <definedName name="OSRRefT22_16x_0" localSheetId="50">'301'!$T$74:$T$76</definedName>
    <definedName name="OSRRefT22_16x_0" localSheetId="64">'310'!$T$89</definedName>
    <definedName name="OSRRefT22_16x_0" localSheetId="72">'310 &amp; 491'!$T$89</definedName>
    <definedName name="OSRRefT22_16x_0" localSheetId="58">'315'!$T$141</definedName>
    <definedName name="OSRRefT22_16x_0" localSheetId="59">'326'!$T$104</definedName>
    <definedName name="OSRRefT22_16x_0" localSheetId="55">'331'!$T$138:$T$140</definedName>
    <definedName name="OSRRefT22_16x_0" localSheetId="57">'333'!$T$140:$T$143</definedName>
    <definedName name="OSRRefT22_16x_0" localSheetId="74">'405'!$T$78</definedName>
    <definedName name="OSRRefT22_16x_0" localSheetId="80">'415'!$T$77</definedName>
    <definedName name="OSRRefT22_16x_0" localSheetId="91">'444'!$T$81</definedName>
    <definedName name="OSRRefT22_16x_0" localSheetId="92">'450'!$T$77</definedName>
    <definedName name="OSRRefT22_16x_0" localSheetId="73">'491'!$T$77</definedName>
    <definedName name="OSRRefT22_16x_0" localSheetId="87">'492'!$T$83</definedName>
    <definedName name="OSRRefT22_16x_0" localSheetId="39">'Div 2'!$T$74:$T$78</definedName>
    <definedName name="OSRRefT22_16x_0" localSheetId="47">'Div 3'!$T$187</definedName>
    <definedName name="OSRRefT22_16x_0" localSheetId="71">'Div 4'!$T$77</definedName>
    <definedName name="OSRRefT22_16x_0" localSheetId="2">Summary!$T$211</definedName>
    <definedName name="OSRRefT22_17x_0" localSheetId="48">'300'!$T$185:$T$187</definedName>
    <definedName name="OSRRefT22_17x_0" localSheetId="49">'300 &amp; 317'!$T$207:$T$209</definedName>
    <definedName name="OSRRefT22_17x_0" localSheetId="50">'301'!$T$78</definedName>
    <definedName name="OSRRefT22_17x_0" localSheetId="64">'310'!$T$91</definedName>
    <definedName name="OSRRefT22_17x_0" localSheetId="72">'310 &amp; 491'!$T$91:$T$99</definedName>
    <definedName name="OSRRefT22_17x_0" localSheetId="59">'326'!$T$106</definedName>
    <definedName name="OSRRefT22_17x_0" localSheetId="55">'331'!$T$142:$T$143</definedName>
    <definedName name="OSRRefT22_17x_0" localSheetId="57">'333'!$T$145:$T$146</definedName>
    <definedName name="OSRRefT22_17x_0" localSheetId="80">'415'!$T$79</definedName>
    <definedName name="OSRRefT22_17x_0" localSheetId="73">'491'!$T$79:$T$87</definedName>
    <definedName name="OSRRefT22_17x_0" localSheetId="87">'492'!$T$85</definedName>
    <definedName name="OSRRefT22_17x_0" localSheetId="39">'Div 2'!$T$80:$T$81</definedName>
    <definedName name="OSRRefT22_17x_0" localSheetId="47">'Div 3'!$T$189:$T$192</definedName>
    <definedName name="OSRRefT22_17x_0" localSheetId="71">'Div 4'!$T$79:$T$82</definedName>
    <definedName name="OSRRefT22_17x_0" localSheetId="2">Summary!$T$213</definedName>
    <definedName name="OSRRefT22_18x_0" localSheetId="48">'300'!$T$189:$T$192</definedName>
    <definedName name="OSRRefT22_18x_0" localSheetId="49">'300 &amp; 317'!$T$211:$T$214</definedName>
    <definedName name="OSRRefT22_18x_0" localSheetId="50">'301'!$T$80:$T$85</definedName>
    <definedName name="OSRRefT22_18x_0" localSheetId="72">'310 &amp; 491'!$T$101</definedName>
    <definedName name="OSRRefT22_18x_0" localSheetId="55">'331'!$T$145:$T$150</definedName>
    <definedName name="OSRRefT22_18x_0" localSheetId="57">'333'!$T$148:$T$153</definedName>
    <definedName name="OSRRefT22_18x_0" localSheetId="73">'491'!$T$89</definedName>
    <definedName name="OSRRefT22_18x_0" localSheetId="87">'492'!$T$87:$T$88</definedName>
    <definedName name="OSRRefT22_18x_0" localSheetId="39">'Div 2'!$T$83</definedName>
    <definedName name="OSRRefT22_18x_0" localSheetId="47">'Div 3'!$T$194:$T$196</definedName>
    <definedName name="OSRRefT22_18x_0" localSheetId="71">'Div 4'!$T$84:$T$85</definedName>
    <definedName name="OSRRefT22_18x_0" localSheetId="2">Summary!$T$215:$T$218</definedName>
    <definedName name="OSRRefT22_19x_0" localSheetId="48">'300'!$T$194:$T$195</definedName>
    <definedName name="OSRRefT22_19x_0" localSheetId="49">'300 &amp; 317'!$T$216:$T$217</definedName>
    <definedName name="OSRRefT22_19x_0" localSheetId="50">'301'!$T$87</definedName>
    <definedName name="OSRRefT22_19x_0" localSheetId="72">'310 &amp; 491'!$T$103</definedName>
    <definedName name="OSRRefT22_19x_0" localSheetId="55">'331'!$T$152</definedName>
    <definedName name="OSRRefT22_19x_0" localSheetId="57">'333'!$T$155</definedName>
    <definedName name="OSRRefT22_19x_0" localSheetId="73">'491'!$T$91</definedName>
    <definedName name="OSRRefT22_19x_0" localSheetId="39">'Div 2'!$T$85:$T$86</definedName>
    <definedName name="OSRRefT22_19x_0" localSheetId="47">'Div 3'!$T$198:$T$202</definedName>
    <definedName name="OSRRefT22_19x_0" localSheetId="71">'Div 4'!$T$87:$T$95</definedName>
    <definedName name="OSRRefT22_19x_0" localSheetId="2">Summary!$T$220:$T$222</definedName>
    <definedName name="OSRRefT22_1x_0" localSheetId="40">'200'!$T$22</definedName>
    <definedName name="OSRRefT22_1x_0" localSheetId="41">'201'!$T$29:$T$32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'206'!$T$29:$T$32</definedName>
    <definedName name="OSRRefT22_1x_0" localSheetId="48">'300'!$T$139:$T$145</definedName>
    <definedName name="OSRRefT22_1x_0" localSheetId="49">'300 &amp; 317'!$T$161:$T$167</definedName>
    <definedName name="OSRRefT22_1x_0" localSheetId="50">'301'!$T$32:$T$38</definedName>
    <definedName name="OSRRefT22_1x_0" localSheetId="51">'306'!$T$25:$T$26</definedName>
    <definedName name="OSRRefT22_1x_0" localSheetId="56">'307'!$T$47:$T$50</definedName>
    <definedName name="OSRRefT22_1x_0" localSheetId="52">'308'!$T$72:$T$78</definedName>
    <definedName name="OSRRefT22_1x_0" localSheetId="65">'309'!$T$29:$T$30</definedName>
    <definedName name="OSRRefT22_1x_0" localSheetId="64">'310'!$T$44:$T$49</definedName>
    <definedName name="OSRRefT22_1x_0" localSheetId="72">'310 &amp; 491'!$T$46:$T$52</definedName>
    <definedName name="OSRRefT22_1x_0" localSheetId="53">'311'!$T$72:$T$78</definedName>
    <definedName name="OSRRefT22_1x_0" localSheetId="66">'313'!$T$34</definedName>
    <definedName name="OSRRefT22_1x_0" localSheetId="58">'315'!$T$96:$T$101</definedName>
    <definedName name="OSRRefT22_1x_0" localSheetId="61">'316'!$T$43:$T$45</definedName>
    <definedName name="OSRRefT22_1x_0" localSheetId="63">'317'!$T$64:$T$68</definedName>
    <definedName name="OSRRefT22_1x_0" localSheetId="67">'321'!$T$37:$T$42</definedName>
    <definedName name="OSRRefT22_1x_0" localSheetId="68">'322'!$T$27</definedName>
    <definedName name="OSRRefT22_1x_0" localSheetId="69">'325'!$T$33:$T$35</definedName>
    <definedName name="OSRRefT22_1x_0" localSheetId="59">'326'!$T$61:$T$66</definedName>
    <definedName name="OSRRefT22_1x_0" localSheetId="70">'327'!$T$26</definedName>
    <definedName name="OSRRefT22_1x_0" localSheetId="55">'331'!$T$97:$T$102</definedName>
    <definedName name="OSRRefT22_1x_0" localSheetId="60">'332'!$T$45:$T$47</definedName>
    <definedName name="OSRRefT22_1x_0" localSheetId="57">'333'!$T$99:$T$104</definedName>
    <definedName name="OSRRefT22_1x_0" localSheetId="74">'405'!$T$33:$T$36</definedName>
    <definedName name="OSRRefT22_1x_0" localSheetId="75">'406'!$T$22</definedName>
    <definedName name="OSRRefT22_1x_0" localSheetId="76">'411'!$T$29:$T$33</definedName>
    <definedName name="OSRRefT22_1x_0" localSheetId="77">'412'!$T$22</definedName>
    <definedName name="OSRRefT22_1x_0" localSheetId="78">'413'!$T$26</definedName>
    <definedName name="OSRRefT22_1x_0" localSheetId="79">'414'!$T$24</definedName>
    <definedName name="OSRRefT22_1x_0" localSheetId="80">'415'!$T$33:$T$37</definedName>
    <definedName name="OSRRefT22_1x_0" localSheetId="81">'418'!$T$30:$T$33</definedName>
    <definedName name="OSRRefT22_1x_0" localSheetId="83">'423'!$T$23</definedName>
    <definedName name="OSRRefT22_1x_0" localSheetId="84">'424'!$T$22</definedName>
    <definedName name="OSRRefT22_1x_0" localSheetId="85">'425'!$T$28</definedName>
    <definedName name="OSRRefT22_1x_0" localSheetId="88">'430'!$T$29</definedName>
    <definedName name="OSRRefT22_1x_0" localSheetId="89">'433'!$T$35:$T$39</definedName>
    <definedName name="OSRRefT22_1x_0" localSheetId="90">'435'!$T$22</definedName>
    <definedName name="OSRRefT22_1x_0" localSheetId="91">'444'!$T$35:$T$40</definedName>
    <definedName name="OSRRefT22_1x_0" localSheetId="92">'450'!$T$35:$T$39</definedName>
    <definedName name="OSRRefT22_1x_0" localSheetId="73">'491'!$T$36:$T$41</definedName>
    <definedName name="OSRRefT22_1x_0" localSheetId="87">'492'!$T$35:$T$41</definedName>
    <definedName name="OSRRefT22_1x_0" localSheetId="94">'501'!$T$31:$T$36</definedName>
    <definedName name="OSRRefT22_1x_0" localSheetId="39">'Div 2'!$T$32:$T$37</definedName>
    <definedName name="OSRRefT22_1x_0" localSheetId="47">'Div 3'!$T$146:$T$152</definedName>
    <definedName name="OSRRefT22_1x_0" localSheetId="71">'Div 4'!$T$38:$T$44</definedName>
    <definedName name="OSRRefT22_1x_0" localSheetId="93">'Div 5'!$T$31:$T$36</definedName>
    <definedName name="OSRRefT22_1x_0" localSheetId="62">'Div 6'!$T$64:$T$68</definedName>
    <definedName name="OSRRefT22_1x_0" localSheetId="2">Summary!$T$170:$T$176</definedName>
    <definedName name="OSRRefT22_20x_0" localSheetId="48">'300'!$T$197:$T$203</definedName>
    <definedName name="OSRRefT22_20x_0" localSheetId="49">'300 &amp; 317'!$T$219:$T$225</definedName>
    <definedName name="OSRRefT22_20x_0" localSheetId="50">'301'!$T$89</definedName>
    <definedName name="OSRRefT22_20x_0" localSheetId="72">'310 &amp; 491'!$T$105:$T$106</definedName>
    <definedName name="OSRRefT22_20x_0" localSheetId="55">'331'!$T$154</definedName>
    <definedName name="OSRRefT22_20x_0" localSheetId="57">'333'!$T$157</definedName>
    <definedName name="OSRRefT22_20x_0" localSheetId="73">'491'!$T$93:$T$94</definedName>
    <definedName name="OSRRefT22_20x_0" localSheetId="47">'Div 3'!$T$204:$T$205</definedName>
    <definedName name="OSRRefT22_20x_0" localSheetId="71">'Div 4'!$T$97</definedName>
    <definedName name="OSRRefT22_20x_0" localSheetId="2">Summary!$T$224:$T$228</definedName>
    <definedName name="OSRRefT22_21x_0" localSheetId="48">'300'!$T$205:$T$206</definedName>
    <definedName name="OSRRefT22_21x_0" localSheetId="49">'300 &amp; 317'!$T$227:$T$228</definedName>
    <definedName name="OSRRefT22_21x_0" localSheetId="50">'301'!$T$91:$T$92</definedName>
    <definedName name="OSRRefT22_21x_0" localSheetId="72">'310 &amp; 491'!$T$108</definedName>
    <definedName name="OSRRefT22_21x_0" localSheetId="55">'331'!$T$156</definedName>
    <definedName name="OSRRefT22_21x_0" localSheetId="57">'333'!$T$159</definedName>
    <definedName name="OSRRefT22_21x_0" localSheetId="73">'491'!$T$96</definedName>
    <definedName name="OSRRefT22_21x_0" localSheetId="47">'Div 3'!$T$207:$T$213</definedName>
    <definedName name="OSRRefT22_21x_0" localSheetId="71">'Div 4'!$T$99</definedName>
    <definedName name="OSRRefT22_21x_0" localSheetId="2">Summary!$T$230:$T$231</definedName>
    <definedName name="OSRRefT22_22x_0" localSheetId="48">'300'!$T$208</definedName>
    <definedName name="OSRRefT22_22x_0" localSheetId="49">'300 &amp; 317'!$T$230</definedName>
    <definedName name="OSRRefT22_22x_0" localSheetId="50">'301'!$T$94</definedName>
    <definedName name="OSRRefT22_22x_0" localSheetId="55">'331'!$T$158</definedName>
    <definedName name="OSRRefT22_22x_0" localSheetId="57">'333'!$T$161</definedName>
    <definedName name="OSRRefT22_22x_0" localSheetId="47">'Div 3'!$T$215:$T$216</definedName>
    <definedName name="OSRRefT22_22x_0" localSheetId="71">'Div 4'!$T$101:$T$102</definedName>
    <definedName name="OSRRefT22_22x_0" localSheetId="2">Summary!$T$233:$T$241</definedName>
    <definedName name="OSRRefT22_23x_0" localSheetId="48">'300'!$T$210:$T$212</definedName>
    <definedName name="OSRRefT22_23x_0" localSheetId="49">'300 &amp; 317'!$T$232:$T$234</definedName>
    <definedName name="OSRRefT22_23x_0" localSheetId="47">'Div 3'!$T$218</definedName>
    <definedName name="OSRRefT22_23x_0" localSheetId="71">'Div 4'!$T$104</definedName>
    <definedName name="OSRRefT22_23x_0" localSheetId="2">Summary!$T$243:$T$244</definedName>
    <definedName name="OSRRefT22_24x_0" localSheetId="48">'300'!$T$214</definedName>
    <definedName name="OSRRefT22_24x_0" localSheetId="49">'300 &amp; 317'!$T$236</definedName>
    <definedName name="OSRRefT22_24x_0" localSheetId="47">'Div 3'!$T$220:$T$222</definedName>
    <definedName name="OSRRefT22_24x_0" localSheetId="2">Summary!$T$246</definedName>
    <definedName name="OSRRefT22_25x_0" localSheetId="47">'Div 3'!$T$224</definedName>
    <definedName name="OSRRefT22_25x_0" localSheetId="2">Summary!$T$248:$T$250</definedName>
    <definedName name="OSRRefT22_26x_0" localSheetId="2">Summary!$T$252</definedName>
    <definedName name="OSRRefT22_2x_0" localSheetId="40">'200'!$T$24</definedName>
    <definedName name="OSRRefT22_2x_0" localSheetId="41">'201'!$T$34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'206'!$T$34</definedName>
    <definedName name="OSRRefT22_2x_0" localSheetId="48">'300'!$T$147</definedName>
    <definedName name="OSRRefT22_2x_0" localSheetId="49">'300 &amp; 317'!$T$169</definedName>
    <definedName name="OSRRefT22_2x_0" localSheetId="50">'301'!$T$40</definedName>
    <definedName name="OSRRefT22_2x_0" localSheetId="51">'306'!$T$28</definedName>
    <definedName name="OSRRefT22_2x_0" localSheetId="56">'307'!$T$52</definedName>
    <definedName name="OSRRefT22_2x_0" localSheetId="52">'308'!$T$80</definedName>
    <definedName name="OSRRefT22_2x_0" localSheetId="65">'309'!$T$32</definedName>
    <definedName name="OSRRefT22_2x_0" localSheetId="64">'310'!$T$51</definedName>
    <definedName name="OSRRefT22_2x_0" localSheetId="72">'310 &amp; 491'!$T$54</definedName>
    <definedName name="OSRRefT22_2x_0" localSheetId="53">'311'!$T$80</definedName>
    <definedName name="OSRRefT22_2x_0" localSheetId="66">'313'!$T$36</definedName>
    <definedName name="OSRRefT22_2x_0" localSheetId="58">'315'!$T$103</definedName>
    <definedName name="OSRRefT22_2x_0" localSheetId="61">'316'!$T$47</definedName>
    <definedName name="OSRRefT22_2x_0" localSheetId="63">'317'!$T$70</definedName>
    <definedName name="OSRRefT22_2x_0" localSheetId="67">'321'!$T$44</definedName>
    <definedName name="OSRRefT22_2x_0" localSheetId="68">'322'!$T$29</definedName>
    <definedName name="OSRRefT22_2x_0" localSheetId="69">'325'!$T$37</definedName>
    <definedName name="OSRRefT22_2x_0" localSheetId="59">'326'!$T$68</definedName>
    <definedName name="OSRRefT22_2x_0" localSheetId="55">'331'!$T$104</definedName>
    <definedName name="OSRRefT22_2x_0" localSheetId="60">'332'!$T$49</definedName>
    <definedName name="OSRRefT22_2x_0" localSheetId="57">'333'!$T$106</definedName>
    <definedName name="OSRRefT22_2x_0" localSheetId="74">'405'!$T$38</definedName>
    <definedName name="OSRRefT22_2x_0" localSheetId="75">'406'!$T$24</definedName>
    <definedName name="OSRRefT22_2x_0" localSheetId="76">'411'!$T$35</definedName>
    <definedName name="OSRRefT22_2x_0" localSheetId="77">'412'!$T$24:$T$25</definedName>
    <definedName name="OSRRefT22_2x_0" localSheetId="78">'413'!$T$28</definedName>
    <definedName name="OSRRefT22_2x_0" localSheetId="79">'414'!$T$26</definedName>
    <definedName name="OSRRefT22_2x_0" localSheetId="80">'415'!$T$39</definedName>
    <definedName name="OSRRefT22_2x_0" localSheetId="81">'418'!$T$35</definedName>
    <definedName name="OSRRefT22_2x_0" localSheetId="83">'423'!$T$25</definedName>
    <definedName name="OSRRefT22_2x_0" localSheetId="84">'424'!$T$24</definedName>
    <definedName name="OSRRefT22_2x_0" localSheetId="85">'425'!$T$30</definedName>
    <definedName name="OSRRefT22_2x_0" localSheetId="88">'430'!$T$31</definedName>
    <definedName name="OSRRefT22_2x_0" localSheetId="89">'433'!$T$41</definedName>
    <definedName name="OSRRefT22_2x_0" localSheetId="91">'444'!$T$42</definedName>
    <definedName name="OSRRefT22_2x_0" localSheetId="92">'450'!$T$41</definedName>
    <definedName name="OSRRefT22_2x_0" localSheetId="73">'491'!$T$43</definedName>
    <definedName name="OSRRefT22_2x_0" localSheetId="87">'492'!$T$43</definedName>
    <definedName name="OSRRefT22_2x_0" localSheetId="94">'501'!$T$38</definedName>
    <definedName name="OSRRefT22_2x_0" localSheetId="39">'Div 2'!$T$39</definedName>
    <definedName name="OSRRefT22_2x_0" localSheetId="47">'Div 3'!$T$154</definedName>
    <definedName name="OSRRefT22_2x_0" localSheetId="71">'Div 4'!$T$46</definedName>
    <definedName name="OSRRefT22_2x_0" localSheetId="93">'Div 5'!$T$38</definedName>
    <definedName name="OSRRefT22_2x_0" localSheetId="62">'Div 6'!$T$70</definedName>
    <definedName name="OSRRefT22_2x_0" localSheetId="2">Summary!$T$178</definedName>
    <definedName name="OSRRefT22_3x_0" localSheetId="40">'200'!$T$26</definedName>
    <definedName name="OSRRefT22_3x_0" localSheetId="41">'201'!$T$36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'206'!$T$36</definedName>
    <definedName name="OSRRefT22_3x_0" localSheetId="48">'300'!$T$149:$T$150</definedName>
    <definedName name="OSRRefT22_3x_0" localSheetId="49">'300 &amp; 317'!$T$171:$T$172</definedName>
    <definedName name="OSRRefT22_3x_0" localSheetId="50">'301'!$T$42:$T$43</definedName>
    <definedName name="OSRRefT22_3x_0" localSheetId="51">'306'!$T$30</definedName>
    <definedName name="OSRRefT22_3x_0" localSheetId="56">'307'!$T$54</definedName>
    <definedName name="OSRRefT22_3x_0" localSheetId="52">'308'!$T$82:$T$83</definedName>
    <definedName name="OSRRefT22_3x_0" localSheetId="65">'309'!$T$34</definedName>
    <definedName name="OSRRefT22_3x_0" localSheetId="64">'310'!$T$53</definedName>
    <definedName name="OSRRefT22_3x_0" localSheetId="72">'310 &amp; 491'!$T$56</definedName>
    <definedName name="OSRRefT22_3x_0" localSheetId="53">'311'!$T$82:$T$83</definedName>
    <definedName name="OSRRefT22_3x_0" localSheetId="66">'313'!$T$38</definedName>
    <definedName name="OSRRefT22_3x_0" localSheetId="58">'315'!$T$105:$T$106</definedName>
    <definedName name="OSRRefT22_3x_0" localSheetId="61">'316'!$T$49</definedName>
    <definedName name="OSRRefT22_3x_0" localSheetId="63">'317'!$T$72</definedName>
    <definedName name="OSRRefT22_3x_0" localSheetId="67">'321'!$T$46</definedName>
    <definedName name="OSRRefT22_3x_0" localSheetId="68">'322'!$T$31</definedName>
    <definedName name="OSRRefT22_3x_0" localSheetId="69">'325'!$T$39</definedName>
    <definedName name="OSRRefT22_3x_0" localSheetId="59">'326'!$T$70</definedName>
    <definedName name="OSRRefT22_3x_0" localSheetId="55">'331'!$T$106</definedName>
    <definedName name="OSRRefT22_3x_0" localSheetId="60">'332'!$T$51</definedName>
    <definedName name="OSRRefT22_3x_0" localSheetId="57">'333'!$T$108</definedName>
    <definedName name="OSRRefT22_3x_0" localSheetId="74">'405'!$T$40</definedName>
    <definedName name="OSRRefT22_3x_0" localSheetId="75">'406'!$T$26</definedName>
    <definedName name="OSRRefT22_3x_0" localSheetId="76">'411'!$T$37:$T$38</definedName>
    <definedName name="OSRRefT22_3x_0" localSheetId="77">'412'!$T$27</definedName>
    <definedName name="OSRRefT22_3x_0" localSheetId="78">'413'!$T$30</definedName>
    <definedName name="OSRRefT22_3x_0" localSheetId="79">'414'!$T$28</definedName>
    <definedName name="OSRRefT22_3x_0" localSheetId="80">'415'!$T$41</definedName>
    <definedName name="OSRRefT22_3x_0" localSheetId="81">'418'!$T$37</definedName>
    <definedName name="OSRRefT22_3x_0" localSheetId="83">'423'!$T$27</definedName>
    <definedName name="OSRRefT22_3x_0" localSheetId="84">'424'!$T$26</definedName>
    <definedName name="OSRRefT22_3x_0" localSheetId="85">'425'!$T$32</definedName>
    <definedName name="OSRRefT22_3x_0" localSheetId="88">'430'!$T$33</definedName>
    <definedName name="OSRRefT22_3x_0" localSheetId="89">'433'!$T$43</definedName>
    <definedName name="OSRRefT22_3x_0" localSheetId="91">'444'!$T$44</definedName>
    <definedName name="OSRRefT22_3x_0" localSheetId="92">'450'!$T$43</definedName>
    <definedName name="OSRRefT22_3x_0" localSheetId="73">'491'!$T$45</definedName>
    <definedName name="OSRRefT22_3x_0" localSheetId="87">'492'!$T$45</definedName>
    <definedName name="OSRRefT22_3x_0" localSheetId="94">'501'!$T$40</definedName>
    <definedName name="OSRRefT22_3x_0" localSheetId="39">'Div 2'!$T$41</definedName>
    <definedName name="OSRRefT22_3x_0" localSheetId="47">'Div 3'!$T$156:$T$157</definedName>
    <definedName name="OSRRefT22_3x_0" localSheetId="71">'Div 4'!$T$48</definedName>
    <definedName name="OSRRefT22_3x_0" localSheetId="93">'Div 5'!$T$40</definedName>
    <definedName name="OSRRefT22_3x_0" localSheetId="62">'Div 6'!$T$72</definedName>
    <definedName name="OSRRefT22_3x_0" localSheetId="2">Summary!$T$180:$T$181</definedName>
    <definedName name="OSRRefT22_4x_0" localSheetId="41">'201'!$T$38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'205'!$T$35:$T$36</definedName>
    <definedName name="OSRRefT22_4x_0" localSheetId="46">'206'!$T$38</definedName>
    <definedName name="OSRRefT22_4x_0" localSheetId="48">'300'!$T$152</definedName>
    <definedName name="OSRRefT22_4x_0" localSheetId="49">'300 &amp; 317'!$T$174</definedName>
    <definedName name="OSRRefT22_4x_0" localSheetId="50">'301'!$T$45</definedName>
    <definedName name="OSRRefT22_4x_0" localSheetId="51">'306'!$T$32</definedName>
    <definedName name="OSRRefT22_4x_0" localSheetId="56">'307'!$T$56:$T$57</definedName>
    <definedName name="OSRRefT22_4x_0" localSheetId="52">'308'!$T$85</definedName>
    <definedName name="OSRRefT22_4x_0" localSheetId="65">'309'!$T$36</definedName>
    <definedName name="OSRRefT22_4x_0" localSheetId="64">'310'!$T$55</definedName>
    <definedName name="OSRRefT22_4x_0" localSheetId="72">'310 &amp; 491'!$T$58</definedName>
    <definedName name="OSRRefT22_4x_0" localSheetId="53">'311'!$T$85</definedName>
    <definedName name="OSRRefT22_4x_0" localSheetId="66">'313'!$T$40</definedName>
    <definedName name="OSRRefT22_4x_0" localSheetId="58">'315'!$T$108</definedName>
    <definedName name="OSRRefT22_4x_0" localSheetId="61">'316'!$T$51</definedName>
    <definedName name="OSRRefT22_4x_0" localSheetId="63">'317'!$T$74</definedName>
    <definedName name="OSRRefT22_4x_0" localSheetId="67">'321'!$T$48</definedName>
    <definedName name="OSRRefT22_4x_0" localSheetId="68">'322'!$T$33:$T$34</definedName>
    <definedName name="OSRRefT22_4x_0" localSheetId="69">'325'!$T$41</definedName>
    <definedName name="OSRRefT22_4x_0" localSheetId="59">'326'!$T$72</definedName>
    <definedName name="OSRRefT22_4x_0" localSheetId="55">'331'!$T$108</definedName>
    <definedName name="OSRRefT22_4x_0" localSheetId="60">'332'!$T$53</definedName>
    <definedName name="OSRRefT22_4x_0" localSheetId="57">'333'!$T$110</definedName>
    <definedName name="OSRRefT22_4x_0" localSheetId="74">'405'!$T$42</definedName>
    <definedName name="OSRRefT22_4x_0" localSheetId="75">'406'!$T$28</definedName>
    <definedName name="OSRRefT22_4x_0" localSheetId="76">'411'!$T$40</definedName>
    <definedName name="OSRRefT22_4x_0" localSheetId="77">'412'!$T$29</definedName>
    <definedName name="OSRRefT22_4x_0" localSheetId="78">'413'!$T$32</definedName>
    <definedName name="OSRRefT22_4x_0" localSheetId="79">'414'!$T$30</definedName>
    <definedName name="OSRRefT22_4x_0" localSheetId="80">'415'!$T$43</definedName>
    <definedName name="OSRRefT22_4x_0" localSheetId="81">'418'!$T$39:$T$40</definedName>
    <definedName name="OSRRefT22_4x_0" localSheetId="85">'425'!$T$34</definedName>
    <definedName name="OSRRefT22_4x_0" localSheetId="88">'430'!$T$35</definedName>
    <definedName name="OSRRefT22_4x_0" localSheetId="89">'433'!$T$45</definedName>
    <definedName name="OSRRefT22_4x_0" localSheetId="91">'444'!$T$46</definedName>
    <definedName name="OSRRefT22_4x_0" localSheetId="92">'450'!$T$45</definedName>
    <definedName name="OSRRefT22_4x_0" localSheetId="73">'491'!$T$47</definedName>
    <definedName name="OSRRefT22_4x_0" localSheetId="87">'492'!$T$47</definedName>
    <definedName name="OSRRefT22_4x_0" localSheetId="94">'501'!$T$42:$T$43</definedName>
    <definedName name="OSRRefT22_4x_0" localSheetId="39">'Div 2'!$T$43</definedName>
    <definedName name="OSRRefT22_4x_0" localSheetId="47">'Div 3'!$T$159</definedName>
    <definedName name="OSRRefT22_4x_0" localSheetId="71">'Div 4'!$T$50</definedName>
    <definedName name="OSRRefT22_4x_0" localSheetId="93">'Div 5'!$T$42:$T$43</definedName>
    <definedName name="OSRRefT22_4x_0" localSheetId="62">'Div 6'!$T$74</definedName>
    <definedName name="OSRRefT22_4x_0" localSheetId="2">Summary!$T$183</definedName>
    <definedName name="OSRRefT22_5x_0" localSheetId="41">'201'!$T$40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'205'!$T$38:$T$40</definedName>
    <definedName name="OSRRefT22_5x_0" localSheetId="46">'206'!$T$40</definedName>
    <definedName name="OSRRefT22_5x_0" localSheetId="48">'300'!$T$154:$T$155</definedName>
    <definedName name="OSRRefT22_5x_0" localSheetId="49">'300 &amp; 317'!$T$176:$T$177</definedName>
    <definedName name="OSRRefT22_5x_0" localSheetId="50">'301'!$T$47:$T$48</definedName>
    <definedName name="OSRRefT22_5x_0" localSheetId="51">'306'!$T$34</definedName>
    <definedName name="OSRRefT22_5x_0" localSheetId="56">'307'!$T$59</definedName>
    <definedName name="OSRRefT22_5x_0" localSheetId="52">'308'!$T$87</definedName>
    <definedName name="OSRRefT22_5x_0" localSheetId="65">'309'!$T$38</definedName>
    <definedName name="OSRRefT22_5x_0" localSheetId="64">'310'!$T$57:$T$58</definedName>
    <definedName name="OSRRefT22_5x_0" localSheetId="72">'310 &amp; 491'!$T$60:$T$61</definedName>
    <definedName name="OSRRefT22_5x_0" localSheetId="53">'311'!$T$87</definedName>
    <definedName name="OSRRefT22_5x_0" localSheetId="66">'313'!$T$42</definedName>
    <definedName name="OSRRefT22_5x_0" localSheetId="58">'315'!$T$110</definedName>
    <definedName name="OSRRefT22_5x_0" localSheetId="61">'316'!$T$53</definedName>
    <definedName name="OSRRefT22_5x_0" localSheetId="63">'317'!$T$76:$T$77</definedName>
    <definedName name="OSRRefT22_5x_0" localSheetId="67">'321'!$T$50</definedName>
    <definedName name="OSRRefT22_5x_0" localSheetId="68">'322'!$T$36</definedName>
    <definedName name="OSRRefT22_5x_0" localSheetId="69">'325'!$T$43:$T$44</definedName>
    <definedName name="OSRRefT22_5x_0" localSheetId="59">'326'!$T$74</definedName>
    <definedName name="OSRRefT22_5x_0" localSheetId="55">'331'!$T$110:$T$111</definedName>
    <definedName name="OSRRefT22_5x_0" localSheetId="60">'332'!$T$55</definedName>
    <definedName name="OSRRefT22_5x_0" localSheetId="57">'333'!$T$112:$T$113</definedName>
    <definedName name="OSRRefT22_5x_0" localSheetId="74">'405'!$T$44:$T$45</definedName>
    <definedName name="OSRRefT22_5x_0" localSheetId="76">'411'!$T$42</definedName>
    <definedName name="OSRRefT22_5x_0" localSheetId="78">'413'!$T$34</definedName>
    <definedName name="OSRRefT22_5x_0" localSheetId="79">'414'!$T$32:$T$33</definedName>
    <definedName name="OSRRefT22_5x_0" localSheetId="80">'415'!$T$45:$T$46</definedName>
    <definedName name="OSRRefT22_5x_0" localSheetId="81">'418'!$T$42</definedName>
    <definedName name="OSRRefT22_5x_0" localSheetId="85">'425'!$T$36:$T$37</definedName>
    <definedName name="OSRRefT22_5x_0" localSheetId="88">'430'!$T$37:$T$38</definedName>
    <definedName name="OSRRefT22_5x_0" localSheetId="89">'433'!$T$47</definedName>
    <definedName name="OSRRefT22_5x_0" localSheetId="91">'444'!$T$48</definedName>
    <definedName name="OSRRefT22_5x_0" localSheetId="92">'450'!$T$47</definedName>
    <definedName name="OSRRefT22_5x_0" localSheetId="73">'491'!$T$49:$T$50</definedName>
    <definedName name="OSRRefT22_5x_0" localSheetId="87">'492'!$T$49</definedName>
    <definedName name="OSRRefT22_5x_0" localSheetId="94">'501'!$T$45</definedName>
    <definedName name="OSRRefT22_5x_0" localSheetId="39">'Div 2'!$T$45</definedName>
    <definedName name="OSRRefT22_5x_0" localSheetId="47">'Div 3'!$T$161:$T$162</definedName>
    <definedName name="OSRRefT22_5x_0" localSheetId="71">'Div 4'!$T$52:$T$53</definedName>
    <definedName name="OSRRefT22_5x_0" localSheetId="93">'Div 5'!$T$45</definedName>
    <definedName name="OSRRefT22_5x_0" localSheetId="62">'Div 6'!$T$76:$T$77</definedName>
    <definedName name="OSRRefT22_5x_0" localSheetId="2">Summary!$T$185:$T$186</definedName>
    <definedName name="OSRRefT22_6x_0" localSheetId="41">'201'!$T$42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'205'!$T$42</definedName>
    <definedName name="OSRRefT22_6x_0" localSheetId="46">'206'!$T$42</definedName>
    <definedName name="OSRRefT22_6x_0" localSheetId="48">'300'!$T$157:$T$158</definedName>
    <definedName name="OSRRefT22_6x_0" localSheetId="49">'300 &amp; 317'!$T$179:$T$180</definedName>
    <definedName name="OSRRefT22_6x_0" localSheetId="50">'301'!$T$50:$T$51</definedName>
    <definedName name="OSRRefT22_6x_0" localSheetId="56">'307'!$T$61</definedName>
    <definedName name="OSRRefT22_6x_0" localSheetId="52">'308'!$T$89:$T$90</definedName>
    <definedName name="OSRRefT22_6x_0" localSheetId="65">'309'!$T$40</definedName>
    <definedName name="OSRRefT22_6x_0" localSheetId="64">'310'!$T$60</definedName>
    <definedName name="OSRRefT22_6x_0" localSheetId="72">'310 &amp; 491'!$T$63</definedName>
    <definedName name="OSRRefT22_6x_0" localSheetId="53">'311'!$T$89:$T$90</definedName>
    <definedName name="OSRRefT22_6x_0" localSheetId="66">'313'!$T$44</definedName>
    <definedName name="OSRRefT22_6x_0" localSheetId="58">'315'!$T$112:$T$113</definedName>
    <definedName name="OSRRefT22_6x_0" localSheetId="61">'316'!$T$55:$T$56</definedName>
    <definedName name="OSRRefT22_6x_0" localSheetId="63">'317'!$T$79</definedName>
    <definedName name="OSRRefT22_6x_0" localSheetId="67">'321'!$T$52</definedName>
    <definedName name="OSRRefT22_6x_0" localSheetId="68">'322'!$T$38</definedName>
    <definedName name="OSRRefT22_6x_0" localSheetId="69">'325'!$T$46</definedName>
    <definedName name="OSRRefT22_6x_0" localSheetId="59">'326'!$T$76</definedName>
    <definedName name="OSRRefT22_6x_0" localSheetId="55">'331'!$T$113</definedName>
    <definedName name="OSRRefT22_6x_0" localSheetId="60">'332'!$T$57:$T$58</definedName>
    <definedName name="OSRRefT22_6x_0" localSheetId="57">'333'!$T$115</definedName>
    <definedName name="OSRRefT22_6x_0" localSheetId="74">'405'!$T$47</definedName>
    <definedName name="OSRRefT22_6x_0" localSheetId="76">'411'!$T$44</definedName>
    <definedName name="OSRRefT22_6x_0" localSheetId="80">'415'!$T$48</definedName>
    <definedName name="OSRRefT22_6x_0" localSheetId="81">'418'!$T$44</definedName>
    <definedName name="OSRRefT22_6x_0" localSheetId="85">'425'!$T$39</definedName>
    <definedName name="OSRRefT22_6x_0" localSheetId="88">'430'!$T$40</definedName>
    <definedName name="OSRRefT22_6x_0" localSheetId="89">'433'!$T$49</definedName>
    <definedName name="OSRRefT22_6x_0" localSheetId="91">'444'!$T$50</definedName>
    <definedName name="OSRRefT22_6x_0" localSheetId="92">'450'!$T$49</definedName>
    <definedName name="OSRRefT22_6x_0" localSheetId="73">'491'!$T$52</definedName>
    <definedName name="OSRRefT22_6x_0" localSheetId="87">'492'!$T$51</definedName>
    <definedName name="OSRRefT22_6x_0" localSheetId="94">'501'!$T$47</definedName>
    <definedName name="OSRRefT22_6x_0" localSheetId="39">'Div 2'!$T$47</definedName>
    <definedName name="OSRRefT22_6x_0" localSheetId="47">'Div 3'!$T$164:$T$165</definedName>
    <definedName name="OSRRefT22_6x_0" localSheetId="71">'Div 4'!$T$55</definedName>
    <definedName name="OSRRefT22_6x_0" localSheetId="93">'Div 5'!$T$47</definedName>
    <definedName name="OSRRefT22_6x_0" localSheetId="62">'Div 6'!$T$79</definedName>
    <definedName name="OSRRefT22_6x_0" localSheetId="2">Summary!$T$188:$T$189</definedName>
    <definedName name="OSRRefT22_7x_0" localSheetId="41">'201'!$T$44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'300'!$T$160</definedName>
    <definedName name="OSRRefT22_7x_0" localSheetId="49">'300 &amp; 317'!$T$182</definedName>
    <definedName name="OSRRefT22_7x_0" localSheetId="50">'301'!$T$53</definedName>
    <definedName name="OSRRefT22_7x_0" localSheetId="56">'307'!$T$63</definedName>
    <definedName name="OSRRefT22_7x_0" localSheetId="52">'308'!$T$92</definedName>
    <definedName name="OSRRefT22_7x_0" localSheetId="65">'309'!$T$42</definedName>
    <definedName name="OSRRefT22_7x_0" localSheetId="64">'310'!$T$62</definedName>
    <definedName name="OSRRefT22_7x_0" localSheetId="72">'310 &amp; 491'!$T$65</definedName>
    <definedName name="OSRRefT22_7x_0" localSheetId="53">'311'!$T$92</definedName>
    <definedName name="OSRRefT22_7x_0" localSheetId="66">'313'!$T$46</definedName>
    <definedName name="OSRRefT22_7x_0" localSheetId="58">'315'!$T$115</definedName>
    <definedName name="OSRRefT22_7x_0" localSheetId="61">'316'!$T$58</definedName>
    <definedName name="OSRRefT22_7x_0" localSheetId="63">'317'!$T$81</definedName>
    <definedName name="OSRRefT22_7x_0" localSheetId="67">'321'!$T$54:$T$55</definedName>
    <definedName name="OSRRefT22_7x_0" localSheetId="68">'322'!$T$40</definedName>
    <definedName name="OSRRefT22_7x_0" localSheetId="69">'325'!$T$48</definedName>
    <definedName name="OSRRefT22_7x_0" localSheetId="59">'326'!$T$78</definedName>
    <definedName name="OSRRefT22_7x_0" localSheetId="55">'331'!$T$115</definedName>
    <definedName name="OSRRefT22_7x_0" localSheetId="60">'332'!$T$60</definedName>
    <definedName name="OSRRefT22_7x_0" localSheetId="57">'333'!$T$117</definedName>
    <definedName name="OSRRefT22_7x_0" localSheetId="74">'405'!$T$49</definedName>
    <definedName name="OSRRefT22_7x_0" localSheetId="76">'411'!$T$46</definedName>
    <definedName name="OSRRefT22_7x_0" localSheetId="80">'415'!$T$50</definedName>
    <definedName name="OSRRefT22_7x_0" localSheetId="81">'418'!$T$46</definedName>
    <definedName name="OSRRefT22_7x_0" localSheetId="85">'425'!$T$41</definedName>
    <definedName name="OSRRefT22_7x_0" localSheetId="88">'430'!$T$42</definedName>
    <definedName name="OSRRefT22_7x_0" localSheetId="89">'433'!$T$51</definedName>
    <definedName name="OSRRefT22_7x_0" localSheetId="91">'444'!$T$52</definedName>
    <definedName name="OSRRefT22_7x_0" localSheetId="92">'450'!$T$51</definedName>
    <definedName name="OSRRefT22_7x_0" localSheetId="73">'491'!$T$54</definedName>
    <definedName name="OSRRefT22_7x_0" localSheetId="87">'492'!$T$53</definedName>
    <definedName name="OSRRefT22_7x_0" localSheetId="94">'501'!$T$49:$T$52</definedName>
    <definedName name="OSRRefT22_7x_0" localSheetId="39">'Div 2'!$T$49</definedName>
    <definedName name="OSRRefT22_7x_0" localSheetId="47">'Div 3'!$T$167</definedName>
    <definedName name="OSRRefT22_7x_0" localSheetId="71">'Div 4'!$T$57</definedName>
    <definedName name="OSRRefT22_7x_0" localSheetId="93">'Div 5'!$T$49:$T$52</definedName>
    <definedName name="OSRRefT22_7x_0" localSheetId="62">'Div 6'!$T$81</definedName>
    <definedName name="OSRRefT22_7x_0" localSheetId="2">Summary!$T$191</definedName>
    <definedName name="OSRRefT22_8x_0" localSheetId="41">'201'!$T$46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'300'!$T$162</definedName>
    <definedName name="OSRRefT22_8x_0" localSheetId="49">'300 &amp; 317'!$T$184</definedName>
    <definedName name="OSRRefT22_8x_0" localSheetId="50">'301'!$T$55</definedName>
    <definedName name="OSRRefT22_8x_0" localSheetId="56">'307'!$T$65:$T$66</definedName>
    <definedName name="OSRRefT22_8x_0" localSheetId="52">'308'!$T$94</definedName>
    <definedName name="OSRRefT22_8x_0" localSheetId="65">'309'!$T$44:$T$45</definedName>
    <definedName name="OSRRefT22_8x_0" localSheetId="64">'310'!$T$64</definedName>
    <definedName name="OSRRefT22_8x_0" localSheetId="72">'310 &amp; 491'!$T$67:$T$68</definedName>
    <definedName name="OSRRefT22_8x_0" localSheetId="53">'311'!$T$94</definedName>
    <definedName name="OSRRefT22_8x_0" localSheetId="58">'315'!$T$117:$T$118</definedName>
    <definedName name="OSRRefT22_8x_0" localSheetId="61">'316'!$T$60:$T$62</definedName>
    <definedName name="OSRRefT22_8x_0" localSheetId="63">'317'!$T$83:$T$85</definedName>
    <definedName name="OSRRefT22_8x_0" localSheetId="67">'321'!$T$57</definedName>
    <definedName name="OSRRefT22_8x_0" localSheetId="69">'325'!$T$50</definedName>
    <definedName name="OSRRefT22_8x_0" localSheetId="59">'326'!$T$80</definedName>
    <definedName name="OSRRefT22_8x_0" localSheetId="55">'331'!$T$117:$T$118</definedName>
    <definedName name="OSRRefT22_8x_0" localSheetId="60">'332'!$T$62:$T$64</definedName>
    <definedName name="OSRRefT22_8x_0" localSheetId="57">'333'!$T$119:$T$120</definedName>
    <definedName name="OSRRefT22_8x_0" localSheetId="74">'405'!$T$51</definedName>
    <definedName name="OSRRefT22_8x_0" localSheetId="76">'411'!$T$48</definedName>
    <definedName name="OSRRefT22_8x_0" localSheetId="80">'415'!$T$52</definedName>
    <definedName name="OSRRefT22_8x_0" localSheetId="81">'418'!$T$48:$T$49</definedName>
    <definedName name="OSRRefT22_8x_0" localSheetId="85">'425'!$T$43</definedName>
    <definedName name="OSRRefT22_8x_0" localSheetId="88">'430'!$T$44</definedName>
    <definedName name="OSRRefT22_8x_0" localSheetId="89">'433'!$T$53</definedName>
    <definedName name="OSRRefT22_8x_0" localSheetId="91">'444'!$T$54</definedName>
    <definedName name="OSRRefT22_8x_0" localSheetId="92">'450'!$T$53</definedName>
    <definedName name="OSRRefT22_8x_0" localSheetId="73">'491'!$T$56</definedName>
    <definedName name="OSRRefT22_8x_0" localSheetId="87">'492'!$T$55</definedName>
    <definedName name="OSRRefT22_8x_0" localSheetId="94">'501'!$T$54:$T$55</definedName>
    <definedName name="OSRRefT22_8x_0" localSheetId="39">'Div 2'!$T$51</definedName>
    <definedName name="OSRRefT22_8x_0" localSheetId="47">'Div 3'!$T$169</definedName>
    <definedName name="OSRRefT22_8x_0" localSheetId="71">'Div 4'!$T$59</definedName>
    <definedName name="OSRRefT22_8x_0" localSheetId="93">'Div 5'!$T$54:$T$55</definedName>
    <definedName name="OSRRefT22_8x_0" localSheetId="62">'Div 6'!$T$83:$T$85</definedName>
    <definedName name="OSRRefT22_8x_0" localSheetId="2">Summary!$T$193</definedName>
    <definedName name="OSRRefT22_9x_0" localSheetId="41">'201'!$T$48:$T$50</definedName>
    <definedName name="OSRRefT22_9x_0" localSheetId="42">'202'!$T$50:$T$51</definedName>
    <definedName name="OSRRefT22_9x_0" localSheetId="43">'203'!$T$53:$T$54</definedName>
    <definedName name="OSRRefT22_9x_0" localSheetId="44">'204'!$T$52</definedName>
    <definedName name="OSRRefT22_9x_0" localSheetId="48">'300'!$T$164</definedName>
    <definedName name="OSRRefT22_9x_0" localSheetId="49">'300 &amp; 317'!$T$186</definedName>
    <definedName name="OSRRefT22_9x_0" localSheetId="50">'301'!$T$57</definedName>
    <definedName name="OSRRefT22_9x_0" localSheetId="56">'307'!$T$68:$T$69</definedName>
    <definedName name="OSRRefT22_9x_0" localSheetId="52">'308'!$T$96:$T$98</definedName>
    <definedName name="OSRRefT22_9x_0" localSheetId="65">'309'!$T$47:$T$48</definedName>
    <definedName name="OSRRefT22_9x_0" localSheetId="64">'310'!$T$66</definedName>
    <definedName name="OSRRefT22_9x_0" localSheetId="72">'310 &amp; 491'!$T$70</definedName>
    <definedName name="OSRRefT22_9x_0" localSheetId="53">'311'!$T$96:$T$98</definedName>
    <definedName name="OSRRefT22_9x_0" localSheetId="58">'315'!$T$120</definedName>
    <definedName name="OSRRefT22_9x_0" localSheetId="61">'316'!$T$64</definedName>
    <definedName name="OSRRefT22_9x_0" localSheetId="63">'317'!$T$87</definedName>
    <definedName name="OSRRefT22_9x_0" localSheetId="67">'321'!$T$59:$T$60</definedName>
    <definedName name="OSRRefT22_9x_0" localSheetId="69">'325'!$T$52</definedName>
    <definedName name="OSRRefT22_9x_0" localSheetId="59">'326'!$T$82</definedName>
    <definedName name="OSRRefT22_9x_0" localSheetId="55">'331'!$T$120</definedName>
    <definedName name="OSRRefT22_9x_0" localSheetId="60">'332'!$T$66</definedName>
    <definedName name="OSRRefT22_9x_0" localSheetId="57">'333'!$T$122</definedName>
    <definedName name="OSRRefT22_9x_0" localSheetId="74">'405'!$T$53</definedName>
    <definedName name="OSRRefT22_9x_0" localSheetId="76">'411'!$T$50:$T$52</definedName>
    <definedName name="OSRRefT22_9x_0" localSheetId="80">'415'!$T$54</definedName>
    <definedName name="OSRRefT22_9x_0" localSheetId="81">'418'!$T$51</definedName>
    <definedName name="OSRRefT22_9x_0" localSheetId="89">'433'!$T$55</definedName>
    <definedName name="OSRRefT22_9x_0" localSheetId="91">'444'!$T$56</definedName>
    <definedName name="OSRRefT22_9x_0" localSheetId="92">'450'!$T$55</definedName>
    <definedName name="OSRRefT22_9x_0" localSheetId="73">'491'!$T$58</definedName>
    <definedName name="OSRRefT22_9x_0" localSheetId="87">'492'!$T$57</definedName>
    <definedName name="OSRRefT22_9x_0" localSheetId="94">'501'!$T$57</definedName>
    <definedName name="OSRRefT22_9x_0" localSheetId="39">'Div 2'!$T$53:$T$54</definedName>
    <definedName name="OSRRefT22_9x_0" localSheetId="47">'Div 3'!$T$171</definedName>
    <definedName name="OSRRefT22_9x_0" localSheetId="71">'Div 4'!$T$61</definedName>
    <definedName name="OSRRefT22_9x_0" localSheetId="93">'Div 5'!$T$57</definedName>
    <definedName name="OSRRefT22_9x_0" localSheetId="62">'Div 6'!$T$87</definedName>
    <definedName name="OSRRefT22_9x_0" localSheetId="2">Summary!$T$195</definedName>
    <definedName name="OSRRefT22x_0" localSheetId="40">'200'!$T$20,'200'!$T$22,'200'!$T$24,'200'!$T$26</definedName>
    <definedName name="OSRRefT22x_0" localSheetId="41">'201'!$T$20:$T$27,'201'!$T$29:$T$32,'201'!$T$34,'201'!$T$36,'201'!$T$38,'201'!$T$40,'201'!$T$42,'201'!$T$44,'201'!$T$46,'201'!$T$48:$T$50,'201'!$T$52:$T$53,'201'!$T$55,'201'!$T$57:$T$58,'201'!$T$60,'201'!$T$62</definedName>
    <definedName name="OSRRefT22x_0" localSheetId="42">'202'!$T$20:$T$27,'202'!$T$29:$T$31,'202'!$T$33,'202'!$T$35,'202'!$T$37,'202'!$T$39:$T$40,'202'!$T$42,'202'!$T$44:$T$46,'202'!$T$48,'202'!$T$50:$T$51,'202'!$T$53,'202'!$T$55,'202'!$T$57</definedName>
    <definedName name="OSRRefT22x_0" localSheetId="43">'203'!$T$20:$T$29,'203'!$T$31:$T$35,'203'!$T$37,'203'!$T$39,'203'!$T$41,'203'!$T$43,'203'!$T$45,'203'!$T$47:$T$48,'203'!$T$50:$T$51,'203'!$T$53:$T$54,'203'!$T$56:$T$59,'203'!$T$61,'203'!$T$63,'203'!$T$65</definedName>
    <definedName name="OSRRefT22x_0" localSheetId="44">'204'!$T$20:$T$28,'204'!$T$30:$T$32,'204'!$T$34,'204'!$T$36,'204'!$T$38,'204'!$T$40:$T$43,'204'!$T$45,'204'!$T$47:$T$48,'204'!$T$50,'204'!$T$52</definedName>
    <definedName name="OSRRefT22x_0" localSheetId="45">'205'!$T$20:$T$27,'205'!$T$29,'205'!$T$31,'205'!$T$33,'205'!$T$35:$T$36,'205'!$T$38:$T$40,'205'!$T$42</definedName>
    <definedName name="OSRRefT22x_0" localSheetId="46">'206'!$T$20:$T$27,'206'!$T$29:$T$32,'206'!$T$34,'206'!$T$36,'206'!$T$38,'206'!$T$40,'206'!$T$42</definedName>
    <definedName name="OSRRefT22x_0" localSheetId="48">'300'!$T$128:$T$137,'300'!$T$139:$T$145,'300'!$T$147,'300'!$T$149:$T$150,'300'!$T$152,'300'!$T$154:$T$155,'300'!$T$157:$T$158,'300'!$T$160,'300'!$T$162,'300'!$T$164,'300'!$T$166:$T$167,'300'!$T$169,'300'!$T$171,'300'!$T$173:$T$174,'300'!$T$176,'300'!$T$178,'300'!$T$180:$T$183,'300'!$T$185:$T$187,'300'!$T$189:$T$192,'300'!$T$194:$T$195,'300'!$T$197:$T$203,'300'!$T$205:$T$206,'300'!$T$208,'300'!$T$210:$T$212,'300'!$T$214</definedName>
    <definedName name="OSRRefT22x_0" localSheetId="49">'300 &amp; 317'!$T$150:$T$159,'300 &amp; 317'!$T$161:$T$167,'300 &amp; 317'!$T$169,'300 &amp; 317'!$T$171:$T$172,'300 &amp; 317'!$T$174,'300 &amp; 317'!$T$176:$T$177,'300 &amp; 317'!$T$179:$T$180,'300 &amp; 317'!$T$182,'300 &amp; 317'!$T$184,'300 &amp; 317'!$T$186,'300 &amp; 317'!$T$188:$T$189,'300 &amp; 317'!$T$191,'300 &amp; 317'!$T$193,'300 &amp; 317'!$T$195:$T$196,'300 &amp; 317'!$T$198,'300 &amp; 317'!$T$200,'300 &amp; 317'!$T$202:$T$205,'300 &amp; 317'!$T$207:$T$209,'300 &amp; 317'!$T$211:$T$214,'300 &amp; 317'!$T$216:$T$217,'300 &amp; 317'!$T$219:$T$225,'300 &amp; 317'!$T$227:$T$228,'300 &amp; 317'!$T$230,'300 &amp; 317'!$T$232:$T$234,'300 &amp; 317'!$T$236</definedName>
    <definedName name="OSRRefT22x_0" localSheetId="50">'301'!$T$21:$T$30,'301'!$T$32:$T$38,'301'!$T$40,'301'!$T$42:$T$43,'301'!$T$45,'301'!$T$47:$T$48,'301'!$T$50:$T$51,'301'!$T$53,'301'!$T$55,'301'!$T$57,'301'!$T$59,'301'!$T$61,'301'!$T$63,'301'!$T$65,'301'!$T$67,'301'!$T$69:$T$72,'301'!$T$74:$T$76,'301'!$T$78,'301'!$T$80:$T$85,'301'!$T$87,'301'!$T$89,'301'!$T$91:$T$92,'301'!$T$94</definedName>
    <definedName name="OSRRefT22x_0" localSheetId="51">'306'!$T$20:$T$23,'306'!$T$25:$T$26,'306'!$T$28,'306'!$T$30,'306'!$T$32,'306'!$T$34</definedName>
    <definedName name="OSRRefT22x_0" localSheetId="56">'307'!$T$43:$T$45,'307'!$T$47:$T$50,'307'!$T$52,'307'!$T$54,'307'!$T$56:$T$57,'307'!$T$59,'307'!$T$61,'307'!$T$63,'307'!$T$65:$T$66,'307'!$T$68:$T$69,'307'!$T$71,'307'!$T$73:$T$76,'307'!$T$78,'307'!$T$80</definedName>
    <definedName name="OSRRefT22x_0" localSheetId="52">'308'!$T$62:$T$70,'308'!$T$72:$T$78,'308'!$T$80,'308'!$T$82:$T$83,'308'!$T$85,'308'!$T$87,'308'!$T$89:$T$90,'308'!$T$92,'308'!$T$94,'308'!$T$96:$T$98,'308'!$T$100:$T$101,'308'!$T$103:$T$104,'308'!$T$106:$T$107,'308'!$T$109</definedName>
    <definedName name="OSRRefT22x_0" localSheetId="65">'309'!$T$26:$T$27,'309'!$T$29:$T$30,'309'!$T$32,'309'!$T$34,'309'!$T$36,'309'!$T$38,'309'!$T$40,'309'!$T$42,'309'!$T$44:$T$45,'309'!$T$47:$T$48,'309'!$T$50:$T$51,'309'!$T$53,'309'!$T$55</definedName>
    <definedName name="OSRRefT22x_0" localSheetId="64">'310'!$T$34:$T$42,'310'!$T$44:$T$49,'310'!$T$51,'310'!$T$53,'310'!$T$55,'310'!$T$57:$T$58,'310'!$T$60,'310'!$T$62,'310'!$T$64,'310'!$T$66,'310'!$T$68,'310'!$T$70:$T$71,'310'!$T$73,'310'!$T$75:$T$78,'310'!$T$80:$T$85,'310'!$T$87,'310'!$T$89,'310'!$T$91</definedName>
    <definedName name="OSRRefT22x_0" localSheetId="72">'310 &amp; 491'!$T$36:$T$44,'310 &amp; 491'!$T$46:$T$52,'310 &amp; 491'!$T$54,'310 &amp; 491'!$T$56,'310 &amp; 491'!$T$58,'310 &amp; 491'!$T$60:$T$61,'310 &amp; 491'!$T$63,'310 &amp; 491'!$T$65,'310 &amp; 491'!$T$67:$T$68,'310 &amp; 491'!$T$70,'310 &amp; 491'!$T$72,'310 &amp; 491'!$T$74,'310 &amp; 491'!$T$76,'310 &amp; 491'!$T$78:$T$80,'310 &amp; 491'!$T$82,'310 &amp; 491'!$T$84:$T$87,'310 &amp; 491'!$T$89,'310 &amp; 491'!$T$91:$T$99,'310 &amp; 491'!$T$101,'310 &amp; 491'!$T$103,'310 &amp; 491'!$T$105:$T$106,'310 &amp; 491'!$T$108</definedName>
    <definedName name="OSRRefT22x_0" localSheetId="53">'311'!$T$62:$T$70,'311'!$T$72:$T$78,'311'!$T$80,'311'!$T$82:$T$83,'311'!$T$85,'311'!$T$87,'311'!$T$89:$T$90,'311'!$T$92,'311'!$T$94,'311'!$T$96:$T$98,'311'!$T$100:$T$101,'311'!$T$103:$T$104,'311'!$T$106:$T$107,'311'!$T$109</definedName>
    <definedName name="OSRRefT22x_0" localSheetId="66">'313'!$T$25:$T$32,'313'!$T$34,'313'!$T$36,'313'!$T$38,'313'!$T$40,'313'!$T$42,'313'!$T$44,'313'!$T$46</definedName>
    <definedName name="OSRRefT22x_0" localSheetId="58">'315'!$T$87:$T$94,'315'!$T$96:$T$101,'315'!$T$103,'315'!$T$105:$T$106,'315'!$T$108,'315'!$T$110,'315'!$T$112:$T$113,'315'!$T$115,'315'!$T$117:$T$118,'315'!$T$120,'315'!$T$122:$T$123,'315'!$T$125:$T$126,'315'!$T$128:$T$129,'315'!$T$131:$T$135,'315'!$T$137,'315'!$T$139,'315'!$T$141</definedName>
    <definedName name="OSRRefT22x_0" localSheetId="61">'316'!$T$34:$T$41,'316'!$T$43:$T$45,'316'!$T$47,'316'!$T$49,'316'!$T$51,'316'!$T$53,'316'!$T$55:$T$56,'316'!$T$58,'316'!$T$60:$T$62,'316'!$T$64,'316'!$T$66:$T$70,'316'!$T$72,'316'!$T$74</definedName>
    <definedName name="OSRRefT22x_0" localSheetId="63">'317'!$T$54:$T$62,'317'!$T$64:$T$68,'317'!$T$70,'317'!$T$72,'317'!$T$74,'317'!$T$76:$T$77,'317'!$T$79,'317'!$T$81,'317'!$T$83:$T$85,'317'!$T$87,'317'!$T$89</definedName>
    <definedName name="OSRRefT22x_0" localSheetId="67">'321'!$T$27:$T$35,'321'!$T$37:$T$42,'321'!$T$44,'321'!$T$46,'321'!$T$48,'321'!$T$50,'321'!$T$52,'321'!$T$54:$T$55,'321'!$T$57,'321'!$T$59:$T$60,'321'!$T$62:$T$66,'321'!$T$68,'321'!$T$70,'321'!$T$72</definedName>
    <definedName name="OSRRefT22x_0" localSheetId="68">'322'!$T$21:$T$25,'322'!$T$27,'322'!$T$29,'322'!$T$31,'322'!$T$33:$T$34,'322'!$T$36,'322'!$T$38,'322'!$T$40</definedName>
    <definedName name="OSRRefT22x_0" localSheetId="69">'325'!$T$24:$T$31,'325'!$T$33:$T$35,'325'!$T$37,'325'!$T$39,'325'!$T$41,'325'!$T$43:$T$44,'325'!$T$46,'325'!$T$48,'325'!$T$50,'325'!$T$52,'325'!$T$54:$T$55,'325'!$T$57:$T$60,'325'!$T$62:$T$66,'325'!$T$68,'325'!$T$70,'325'!$T$72</definedName>
    <definedName name="OSRRefT22x_0" localSheetId="59">'326'!$T$52:$T$59,'326'!$T$61:$T$66,'326'!$T$68,'326'!$T$70,'326'!$T$72,'326'!$T$74,'326'!$T$76,'326'!$T$78,'326'!$T$80,'326'!$T$82,'326'!$T$84,'326'!$T$86:$T$88,'326'!$T$90:$T$92,'326'!$T$94:$T$95,'326'!$T$97:$T$100,'326'!$T$102,'326'!$T$104,'326'!$T$106</definedName>
    <definedName name="OSRRefT22x_0" localSheetId="70">'327'!$T$24,'327'!$T$26</definedName>
    <definedName name="OSRRefT22x_0" localSheetId="55">'331'!$T$88:$T$95,'331'!$T$97:$T$102,'331'!$T$104,'331'!$T$106,'331'!$T$108,'331'!$T$110:$T$111,'331'!$T$113,'331'!$T$115,'331'!$T$117:$T$118,'331'!$T$120,'331'!$T$122,'331'!$T$124:$T$125,'331'!$T$127,'331'!$T$129,'331'!$T$131:$T$133,'331'!$T$135:$T$136,'331'!$T$138:$T$140,'331'!$T$142:$T$143,'331'!$T$145:$T$150,'331'!$T$152,'331'!$T$154,'331'!$T$156,'331'!$T$158</definedName>
    <definedName name="OSRRefT22x_0" localSheetId="60">'332'!$T$36:$T$43,'332'!$T$45:$T$47,'332'!$T$49,'332'!$T$51,'332'!$T$53,'332'!$T$55,'332'!$T$57:$T$58,'332'!$T$60,'332'!$T$62:$T$64,'332'!$T$66,'332'!$T$68:$T$72,'332'!$T$74,'332'!$T$76</definedName>
    <definedName name="OSRRefT22x_0" localSheetId="57">'333'!$T$90:$T$97,'333'!$T$99:$T$104,'333'!$T$106,'333'!$T$108,'333'!$T$110,'333'!$T$112:$T$113,'333'!$T$115,'333'!$T$117,'333'!$T$119:$T$120,'333'!$T$122,'333'!$T$124,'333'!$T$126:$T$127,'333'!$T$129,'333'!$T$131,'333'!$T$133:$T$135,'333'!$T$137:$T$138,'333'!$T$140:$T$143,'333'!$T$145:$T$146,'333'!$T$148:$T$153,'333'!$T$155,'333'!$T$157,'333'!$T$159,'333'!$T$161</definedName>
    <definedName name="OSRRefT22x_0" localSheetId="74">'405'!$T$24:$T$31,'405'!$T$33:$T$36,'405'!$T$38,'405'!$T$40,'405'!$T$42,'405'!$T$44:$T$45,'405'!$T$47,'405'!$T$49,'405'!$T$51,'405'!$T$53,'405'!$T$55:$T$56,'405'!$T$58:$T$61,'405'!$T$63,'405'!$T$65:$T$72,'405'!$T$74,'405'!$T$76,'405'!$T$78</definedName>
    <definedName name="OSRRefT22x_0" localSheetId="75">'406'!$T$20,'406'!$T$22,'406'!$T$24,'406'!$T$26,'406'!$T$28</definedName>
    <definedName name="OSRRefT22x_0" localSheetId="76">'411'!$T$20:$T$27,'411'!$T$29:$T$33,'411'!$T$35,'411'!$T$37:$T$38,'411'!$T$40,'411'!$T$42,'411'!$T$44,'411'!$T$46,'411'!$T$48,'411'!$T$50:$T$52,'411'!$T$54:$T$56,'411'!$T$58:$T$59,'411'!$T$61,'411'!$T$63:$T$64,'411'!$T$66</definedName>
    <definedName name="OSRRefT22x_0" localSheetId="77">'412'!$T$20,'412'!$T$22,'412'!$T$24:$T$25,'412'!$T$27,'412'!$T$29</definedName>
    <definedName name="OSRRefT22x_0" localSheetId="78">'413'!$T$20:$T$24,'413'!$T$26,'413'!$T$28,'413'!$T$30,'413'!$T$32,'413'!$T$34</definedName>
    <definedName name="OSRRefT22x_0" localSheetId="79">'414'!$T$22,'414'!$T$24,'414'!$T$26,'414'!$T$28,'414'!$T$30,'414'!$T$32:$T$33</definedName>
    <definedName name="OSRRefT22x_0" localSheetId="80">'415'!$T$24:$T$31,'415'!$T$33:$T$37,'415'!$T$39,'415'!$T$41,'415'!$T$43,'415'!$T$45:$T$46,'415'!$T$48,'415'!$T$50,'415'!$T$52,'415'!$T$54,'415'!$T$56,'415'!$T$58:$T$59,'415'!$T$61:$T$64,'415'!$T$66,'415'!$T$68:$T$73,'415'!$T$75,'415'!$T$77,'415'!$T$79</definedName>
    <definedName name="OSRRefT22x_0" localSheetId="81">'418'!$T$21:$T$28,'418'!$T$30:$T$33,'418'!$T$35,'418'!$T$37,'418'!$T$39:$T$40,'418'!$T$42,'418'!$T$44,'418'!$T$46,'418'!$T$48:$T$49,'418'!$T$51,'418'!$T$53,'418'!$T$55:$T$59,'418'!$T$61,'418'!$T$63</definedName>
    <definedName name="OSRRefT22x_0" localSheetId="82">'420'!$T$21</definedName>
    <definedName name="OSRRefT22x_0" localSheetId="83">'423'!$T$20:$T$21,'423'!$T$23,'423'!$T$25,'423'!$T$27</definedName>
    <definedName name="OSRRefT22x_0" localSheetId="84">'424'!$T$20,'424'!$T$22,'424'!$T$24,'424'!$T$26</definedName>
    <definedName name="OSRRefT22x_0" localSheetId="85">'425'!$T$22:$T$26,'425'!$T$28,'425'!$T$30,'425'!$T$32,'425'!$T$34,'425'!$T$36:$T$37,'425'!$T$39,'425'!$T$41,'425'!$T$43</definedName>
    <definedName name="OSRRefT22x_0" localSheetId="88">'430'!$T$20:$T$27,'430'!$T$29,'430'!$T$31,'430'!$T$33,'430'!$T$35,'430'!$T$37:$T$38,'430'!$T$40,'430'!$T$42,'430'!$T$44</definedName>
    <definedName name="OSRRefT22x_0" localSheetId="89">'433'!$T$25:$T$33,'433'!$T$35:$T$39,'433'!$T$41,'433'!$T$43,'433'!$T$45,'433'!$T$47,'433'!$T$49,'433'!$T$51,'433'!$T$53,'433'!$T$55,'433'!$T$57,'433'!$T$59:$T$60,'433'!$T$62:$T$64,'433'!$T$66:$T$73,'433'!$T$75</definedName>
    <definedName name="OSRRefT22x_0" localSheetId="90">'435'!$T$20,'435'!$T$22</definedName>
    <definedName name="OSRRefT22x_0" localSheetId="91">'444'!$T$25:$T$33,'444'!$T$35:$T$40,'444'!$T$42,'444'!$T$44,'444'!$T$46,'444'!$T$48,'444'!$T$50,'444'!$T$52,'444'!$T$54,'444'!$T$56,'444'!$T$58,'444'!$T$60:$T$61,'444'!$T$63:$T$66,'444'!$T$68,'444'!$T$70:$T$77,'444'!$T$79,'444'!$T$81</definedName>
    <definedName name="OSRRefT22x_0" localSheetId="92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3">'491'!$T$27:$T$34,'491'!$T$36:$T$41,'491'!$T$43,'491'!$T$45,'491'!$T$47,'491'!$T$49:$T$50,'491'!$T$52,'491'!$T$54,'491'!$T$56,'491'!$T$58,'491'!$T$60,'491'!$T$62,'491'!$T$64,'491'!$T$66:$T$68,'491'!$T$70,'491'!$T$72:$T$75,'491'!$T$77,'491'!$T$79:$T$87,'491'!$T$89,'491'!$T$91,'491'!$T$93:$T$94,'491'!$T$96</definedName>
    <definedName name="OSRRefT22x_0" localSheetId="87">'492'!$T$25:$T$33,'492'!$T$35:$T$41,'492'!$T$43,'492'!$T$45,'492'!$T$47,'492'!$T$49,'492'!$T$51,'492'!$T$53,'492'!$T$55,'492'!$T$57,'492'!$T$59,'492'!$T$61,'492'!$T$63:$T$65,'492'!$T$67:$T$70,'492'!$T$72,'492'!$T$74:$T$81,'492'!$T$83,'492'!$T$85,'492'!$T$87:$T$88</definedName>
    <definedName name="OSRRefT22x_0" localSheetId="94">'501'!$T$21:$T$29,'501'!$T$31:$T$36,'501'!$T$38,'501'!$T$40,'501'!$T$42:$T$43,'501'!$T$45,'501'!$T$47,'501'!$T$49:$T$52,'501'!$T$54:$T$55,'501'!$T$57,'501'!$T$59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2'!$T$71:$T$72,'Div 2'!$T$74:$T$78,'Div 2'!$T$80:$T$81,'Div 2'!$T$83,'Div 2'!$T$85:$T$86</definedName>
    <definedName name="OSRRefT22x_0" localSheetId="47">'Div 3'!$T$135:$T$144,'Div 3'!$T$146:$T$152,'Div 3'!$T$154,'Div 3'!$T$156:$T$157,'Div 3'!$T$159,'Div 3'!$T$161:$T$162,'Div 3'!$T$164:$T$165,'Div 3'!$T$167,'Div 3'!$T$169,'Div 3'!$T$171,'Div 3'!$T$173:$T$174,'Div 3'!$T$176,'Div 3'!$T$178,'Div 3'!$T$180,'Div 3'!$T$182:$T$183,'Div 3'!$T$185,'Div 3'!$T$187,'Div 3'!$T$189:$T$192,'Div 3'!$T$194:$T$196,'Div 3'!$T$198:$T$202,'Div 3'!$T$204:$T$205,'Div 3'!$T$207:$T$213,'Div 3'!$T$215:$T$216,'Div 3'!$T$218,'Div 3'!$T$220:$T$222,'Div 3'!$T$224</definedName>
    <definedName name="OSRRefT22x_0" localSheetId="71">'Div 4'!$T$28:$T$36,'Div 4'!$T$38:$T$44,'Div 4'!$T$46,'Div 4'!$T$48,'Div 4'!$T$50,'Div 4'!$T$52:$T$53,'Div 4'!$T$55,'Div 4'!$T$57,'Div 4'!$T$59,'Div 4'!$T$61,'Div 4'!$T$63,'Div 4'!$T$65,'Div 4'!$T$67,'Div 4'!$T$69,'Div 4'!$T$71,'Div 4'!$T$73:$T$75,'Div 4'!$T$77,'Div 4'!$T$79:$T$82,'Div 4'!$T$84:$T$85,'Div 4'!$T$87:$T$95,'Div 4'!$T$97,'Div 4'!$T$99,'Div 4'!$T$101:$T$102,'Div 4'!$T$104</definedName>
    <definedName name="OSRRefT22x_0" localSheetId="93">'Div 5'!$T$21:$T$29,'Div 5'!$T$31:$T$36,'Div 5'!$T$38,'Div 5'!$T$40,'Div 5'!$T$42:$T$43,'Div 5'!$T$45,'Div 5'!$T$47,'Div 5'!$T$49:$T$52,'Div 5'!$T$54:$T$55,'Div 5'!$T$57,'Div 5'!$T$59</definedName>
    <definedName name="OSRRefT22x_0" localSheetId="62">'Div 6'!$T$54:$T$62,'Div 6'!$T$64:$T$68,'Div 6'!$T$70,'Div 6'!$T$72,'Div 6'!$T$74,'Div 6'!$T$76:$T$77,'Div 6'!$T$79,'Div 6'!$T$81,'Div 6'!$T$83:$T$85,'Div 6'!$T$87,'Div 6'!$T$89</definedName>
    <definedName name="OSRRefT22x_0" localSheetId="2">Summary!$T$159:$T$168,Summary!$T$170:$T$176,Summary!$T$178,Summary!$T$180:$T$181,Summary!$T$183,Summary!$T$185:$T$186,Summary!$T$188:$T$189,Summary!$T$191,Summary!$T$193,Summary!$T$195,Summary!$T$197:$T$198,Summary!$T$200,Summary!$T$202,Summary!$T$204,Summary!$T$206:$T$207,Summary!$T$209,Summary!$T$211,Summary!$T$213,Summary!$T$215:$T$218,Summary!$T$220:$T$222,Summary!$T$224:$T$228,Summary!$T$230:$T$231,Summary!$T$233:$T$241,Summary!$T$243:$T$244,Summary!$T$246,Summary!$T$248:$T$250,Summary!$T$252</definedName>
    <definedName name="OSRRefT25x_0" localSheetId="48">'300'!$T$217:$T$220</definedName>
    <definedName name="OSRRefT25x_0" localSheetId="49">'300 &amp; 317'!$T$239:$T$244</definedName>
    <definedName name="OSRRefT25x_0" localSheetId="50">'301'!$T$97</definedName>
    <definedName name="OSRRefT25x_0" localSheetId="52">'308'!$T$112:$T$114</definedName>
    <definedName name="OSRRefT25x_0" localSheetId="72">'310 &amp; 491'!$T$111:$T$113</definedName>
    <definedName name="OSRRefT25x_0" localSheetId="53">'311'!$T$112:$T$114</definedName>
    <definedName name="OSRRefT25x_0" localSheetId="58">'315'!$T$144:$T$145</definedName>
    <definedName name="OSRRefT25x_0" localSheetId="61">'316'!$T$77</definedName>
    <definedName name="OSRRefT25x_0" localSheetId="63">'317'!$T$92:$T$94</definedName>
    <definedName name="OSRRefT25x_0" localSheetId="55">'331'!$T$161:$T$162</definedName>
    <definedName name="OSRRefT25x_0" localSheetId="60">'332'!$T$79:$T$80</definedName>
    <definedName name="OSRRefT25x_0" localSheetId="57">'333'!$T$164:$T$165</definedName>
    <definedName name="OSRRefT25x_0" localSheetId="74">'405'!$T$81</definedName>
    <definedName name="OSRRefT25x_0" localSheetId="76">'411'!$T$69:$T$70</definedName>
    <definedName name="OSRRefT25x_0" localSheetId="80">'415'!$T$82</definedName>
    <definedName name="OSRRefT25x_0" localSheetId="81">'418'!$T$66</definedName>
    <definedName name="OSRRefT25x_0" localSheetId="83">'423'!$T$30</definedName>
    <definedName name="OSRRefT25x_0" localSheetId="86">'455'!$T$21:$T$22</definedName>
    <definedName name="OSRRefT25x_0" localSheetId="73">'491'!$T$99:$T$101</definedName>
    <definedName name="OSRRefT25x_0" localSheetId="94">'501'!$T$62</definedName>
    <definedName name="OSRRefT25x_0" localSheetId="47">'Div 3'!$T$227:$T$230</definedName>
    <definedName name="OSRRefT25x_0" localSheetId="71">'Div 4'!$T$107:$T$109</definedName>
    <definedName name="OSRRefT25x_0" localSheetId="93">'Div 5'!$T$62</definedName>
    <definedName name="OSRRefT25x_0" localSheetId="62">'Div 6'!$T$92:$T$94</definedName>
    <definedName name="OSRRefT25x_0" localSheetId="2">Summary!$T$255:$T$262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L21" i="100" s="1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Z13" i="100" s="1"/>
  <c r="P13" i="100"/>
  <c r="X13" i="100" s="1"/>
  <c r="H13" i="100"/>
  <c r="N13" i="100" s="1"/>
  <c r="D13" i="100"/>
  <c r="B13" i="100"/>
  <c r="T12" i="100"/>
  <c r="V34" i="100" s="1"/>
  <c r="P12" i="100"/>
  <c r="H12" i="100"/>
  <c r="J20" i="100" s="1"/>
  <c r="D12" i="100"/>
  <c r="F34" i="100" s="1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V20" i="99" s="1"/>
  <c r="P12" i="99"/>
  <c r="R36" i="99" s="1"/>
  <c r="H12" i="99"/>
  <c r="J34" i="99" s="1"/>
  <c r="D12" i="99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X29" i="98" s="1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24" i="98" s="1"/>
  <c r="P12" i="98"/>
  <c r="R21" i="98" s="1"/>
  <c r="H12" i="98"/>
  <c r="J20" i="98" s="1"/>
  <c r="D12" i="98"/>
  <c r="F36" i="98" s="1"/>
  <c r="D6" i="98"/>
  <c r="D5" i="98"/>
  <c r="D4" i="98"/>
  <c r="X66" i="97"/>
  <c r="Z66" i="97" s="1"/>
  <c r="N66" i="97"/>
  <c r="L66" i="97"/>
  <c r="T62" i="97"/>
  <c r="P62" i="97"/>
  <c r="H62" i="97"/>
  <c r="D62" i="97"/>
  <c r="B62" i="97"/>
  <c r="Z59" i="97"/>
  <c r="X59" i="97"/>
  <c r="N59" i="97"/>
  <c r="L59" i="97"/>
  <c r="B59" i="97"/>
  <c r="X58" i="97"/>
  <c r="T58" i="97"/>
  <c r="Z58" i="97" s="1"/>
  <c r="P58" i="97"/>
  <c r="H58" i="97"/>
  <c r="N58" i="97" s="1"/>
  <c r="D58" i="97"/>
  <c r="B58" i="97"/>
  <c r="X57" i="97"/>
  <c r="Z57" i="97" s="1"/>
  <c r="N57" i="97"/>
  <c r="L57" i="97"/>
  <c r="B57" i="97"/>
  <c r="T56" i="97"/>
  <c r="P56" i="97"/>
  <c r="H56" i="97"/>
  <c r="D56" i="97"/>
  <c r="L56" i="97" s="1"/>
  <c r="B56" i="97"/>
  <c r="Z55" i="97"/>
  <c r="X55" i="97"/>
  <c r="N55" i="97"/>
  <c r="L55" i="97"/>
  <c r="B55" i="97"/>
  <c r="X54" i="97"/>
  <c r="Z54" i="97" s="1"/>
  <c r="L54" i="97"/>
  <c r="N54" i="97" s="1"/>
  <c r="B54" i="97"/>
  <c r="X53" i="97"/>
  <c r="Z53" i="97" s="1"/>
  <c r="T53" i="97"/>
  <c r="P53" i="97"/>
  <c r="H53" i="97"/>
  <c r="L53" i="97" s="1"/>
  <c r="D53" i="97"/>
  <c r="B53" i="97"/>
  <c r="X52" i="97"/>
  <c r="Z52" i="97" s="1"/>
  <c r="N52" i="97"/>
  <c r="L52" i="97"/>
  <c r="B52" i="97"/>
  <c r="Z51" i="97"/>
  <c r="X51" i="97"/>
  <c r="N51" i="97"/>
  <c r="L51" i="97"/>
  <c r="J51" i="97"/>
  <c r="B51" i="97"/>
  <c r="Z50" i="97"/>
  <c r="X50" i="97"/>
  <c r="N50" i="97"/>
  <c r="L50" i="97"/>
  <c r="B50" i="97"/>
  <c r="Z49" i="97"/>
  <c r="X49" i="97"/>
  <c r="N49" i="97"/>
  <c r="L49" i="97"/>
  <c r="B49" i="97"/>
  <c r="T48" i="97"/>
  <c r="P48" i="97"/>
  <c r="H48" i="97"/>
  <c r="N48" i="97" s="1"/>
  <c r="D48" i="97"/>
  <c r="L48" i="97" s="1"/>
  <c r="B48" i="97"/>
  <c r="Z47" i="97"/>
  <c r="X47" i="97"/>
  <c r="R47" i="97"/>
  <c r="N47" i="97"/>
  <c r="L47" i="97"/>
  <c r="B47" i="97"/>
  <c r="T46" i="97"/>
  <c r="P46" i="97"/>
  <c r="X46" i="97" s="1"/>
  <c r="L46" i="97"/>
  <c r="N46" i="97" s="1"/>
  <c r="H46" i="97"/>
  <c r="D46" i="97"/>
  <c r="B46" i="97"/>
  <c r="Z45" i="97"/>
  <c r="X45" i="97"/>
  <c r="L45" i="97"/>
  <c r="N45" i="97" s="1"/>
  <c r="B45" i="97"/>
  <c r="X44" i="97"/>
  <c r="T44" i="97"/>
  <c r="Z44" i="97" s="1"/>
  <c r="P44" i="97"/>
  <c r="H44" i="97"/>
  <c r="D44" i="97"/>
  <c r="B44" i="97"/>
  <c r="Z43" i="97"/>
  <c r="X43" i="97"/>
  <c r="N43" i="97"/>
  <c r="L43" i="97"/>
  <c r="B43" i="97"/>
  <c r="X42" i="97"/>
  <c r="Z42" i="97" s="1"/>
  <c r="N42" i="97"/>
  <c r="L42" i="97"/>
  <c r="B42" i="97"/>
  <c r="Z41" i="97"/>
  <c r="T41" i="97"/>
  <c r="P41" i="97"/>
  <c r="X41" i="97" s="1"/>
  <c r="N41" i="97"/>
  <c r="H41" i="97"/>
  <c r="L41" i="97" s="1"/>
  <c r="D41" i="97"/>
  <c r="B41" i="97"/>
  <c r="Z40" i="97"/>
  <c r="X40" i="97"/>
  <c r="L40" i="97"/>
  <c r="N40" i="97" s="1"/>
  <c r="B40" i="97"/>
  <c r="T39" i="97"/>
  <c r="X39" i="97" s="1"/>
  <c r="Z39" i="97" s="1"/>
  <c r="P39" i="97"/>
  <c r="L39" i="97"/>
  <c r="N39" i="97" s="1"/>
  <c r="H39" i="97"/>
  <c r="D39" i="97"/>
  <c r="B39" i="97"/>
  <c r="Z38" i="97"/>
  <c r="X38" i="97"/>
  <c r="N38" i="97"/>
  <c r="L38" i="97"/>
  <c r="B38" i="97"/>
  <c r="Z37" i="97"/>
  <c r="X37" i="97"/>
  <c r="T37" i="97"/>
  <c r="P37" i="97"/>
  <c r="H37" i="97"/>
  <c r="N37" i="97" s="1"/>
  <c r="D37" i="97"/>
  <c r="B37" i="97"/>
  <c r="X36" i="97"/>
  <c r="Z36" i="97" s="1"/>
  <c r="L36" i="97"/>
  <c r="N36" i="97" s="1"/>
  <c r="B36" i="97"/>
  <c r="Z35" i="97"/>
  <c r="X35" i="97"/>
  <c r="N35" i="97"/>
  <c r="L35" i="97"/>
  <c r="B35" i="97"/>
  <c r="X34" i="97"/>
  <c r="Z34" i="97" s="1"/>
  <c r="L34" i="97"/>
  <c r="N34" i="97" s="1"/>
  <c r="B34" i="97"/>
  <c r="Z33" i="97"/>
  <c r="X33" i="97"/>
  <c r="N33" i="97"/>
  <c r="L33" i="97"/>
  <c r="B33" i="97"/>
  <c r="X32" i="97"/>
  <c r="Z32" i="97" s="1"/>
  <c r="R32" i="97"/>
  <c r="L32" i="97"/>
  <c r="N32" i="97" s="1"/>
  <c r="B32" i="97"/>
  <c r="Z31" i="97"/>
  <c r="X31" i="97"/>
  <c r="R31" i="97"/>
  <c r="N31" i="97"/>
  <c r="L31" i="97"/>
  <c r="B31" i="97"/>
  <c r="T30" i="97"/>
  <c r="P30" i="97"/>
  <c r="H30" i="97"/>
  <c r="D30" i="97"/>
  <c r="L30" i="97" s="1"/>
  <c r="N30" i="97" s="1"/>
  <c r="B30" i="97"/>
  <c r="Z29" i="97"/>
  <c r="X29" i="97"/>
  <c r="N29" i="97"/>
  <c r="L29" i="97"/>
  <c r="J29" i="97"/>
  <c r="B29" i="97"/>
  <c r="X28" i="97"/>
  <c r="Z28" i="97" s="1"/>
  <c r="L28" i="97"/>
  <c r="N28" i="97" s="1"/>
  <c r="B28" i="97"/>
  <c r="Z27" i="97"/>
  <c r="X27" i="97"/>
  <c r="R27" i="97"/>
  <c r="L27" i="97"/>
  <c r="N27" i="97" s="1"/>
  <c r="B27" i="97"/>
  <c r="Z26" i="97"/>
  <c r="X26" i="97"/>
  <c r="R26" i="97"/>
  <c r="L26" i="97"/>
  <c r="N26" i="97" s="1"/>
  <c r="B26" i="97"/>
  <c r="X25" i="97"/>
  <c r="Z25" i="97" s="1"/>
  <c r="R25" i="97"/>
  <c r="N25" i="97"/>
  <c r="L25" i="97"/>
  <c r="B25" i="97"/>
  <c r="Z24" i="97"/>
  <c r="X24" i="97"/>
  <c r="R24" i="97"/>
  <c r="L24" i="97"/>
  <c r="N24" i="97" s="1"/>
  <c r="B24" i="97"/>
  <c r="Z23" i="97"/>
  <c r="X23" i="97"/>
  <c r="N23" i="97"/>
  <c r="L23" i="97"/>
  <c r="B23" i="97"/>
  <c r="X22" i="97"/>
  <c r="Z22" i="97" s="1"/>
  <c r="L22" i="97"/>
  <c r="N22" i="97" s="1"/>
  <c r="J22" i="97"/>
  <c r="B22" i="97"/>
  <c r="Z21" i="97"/>
  <c r="X21" i="97"/>
  <c r="L21" i="97"/>
  <c r="N21" i="97" s="1"/>
  <c r="J21" i="97"/>
  <c r="B21" i="97"/>
  <c r="T20" i="97"/>
  <c r="P20" i="97"/>
  <c r="X20" i="97" s="1"/>
  <c r="Z20" i="97" s="1"/>
  <c r="N20" i="97"/>
  <c r="L20" i="97"/>
  <c r="H20" i="97"/>
  <c r="D20" i="97"/>
  <c r="B20" i="97"/>
  <c r="T19" i="97" a="1"/>
  <c r="T19" i="97" s="1"/>
  <c r="P19" i="97" a="1"/>
  <c r="P19" i="97"/>
  <c r="H19" i="97" a="1"/>
  <c r="H19" i="97" s="1"/>
  <c r="D19" i="97" a="1"/>
  <c r="D19" i="97"/>
  <c r="L19" i="97" s="1"/>
  <c r="H17" i="97"/>
  <c r="T15" i="97"/>
  <c r="Z15" i="97" s="1"/>
  <c r="P15" i="97"/>
  <c r="N15" i="97"/>
  <c r="H15" i="97"/>
  <c r="D15" i="97"/>
  <c r="L15" i="97" s="1"/>
  <c r="X13" i="97"/>
  <c r="T13" i="97"/>
  <c r="Z13" i="97" s="1"/>
  <c r="P13" i="97"/>
  <c r="P12" i="97" s="1"/>
  <c r="R30" i="97" s="1"/>
  <c r="H13" i="97"/>
  <c r="D13" i="97"/>
  <c r="L13" i="97" s="1"/>
  <c r="B13" i="97"/>
  <c r="T12" i="97"/>
  <c r="H12" i="97"/>
  <c r="J56" i="97" s="1"/>
  <c r="D6" i="97"/>
  <c r="D4" i="97"/>
  <c r="R31" i="96"/>
  <c r="V28" i="96"/>
  <c r="R28" i="96"/>
  <c r="J28" i="96"/>
  <c r="F28" i="96"/>
  <c r="Z26" i="96"/>
  <c r="X26" i="96"/>
  <c r="R26" i="96"/>
  <c r="N26" i="96"/>
  <c r="L26" i="96"/>
  <c r="F26" i="96"/>
  <c r="R24" i="96"/>
  <c r="P24" i="96"/>
  <c r="V22" i="96"/>
  <c r="T22" i="96"/>
  <c r="R22" i="96"/>
  <c r="P22" i="96"/>
  <c r="H22" i="96"/>
  <c r="F22" i="96"/>
  <c r="D22" i="96"/>
  <c r="L22" i="96" s="1"/>
  <c r="B22" i="96"/>
  <c r="T21" i="96"/>
  <c r="R21" i="96"/>
  <c r="P21" i="96"/>
  <c r="L21" i="96"/>
  <c r="N21" i="96" s="1"/>
  <c r="H21" i="96"/>
  <c r="F21" i="96"/>
  <c r="D21" i="96"/>
  <c r="B21" i="96"/>
  <c r="P20" i="96"/>
  <c r="H20" i="96"/>
  <c r="F20" i="96"/>
  <c r="T18" i="96"/>
  <c r="Z18" i="96" s="1"/>
  <c r="R18" i="96"/>
  <c r="P18" i="96"/>
  <c r="X18" i="96" s="1"/>
  <c r="H18" i="96"/>
  <c r="N18" i="96" s="1"/>
  <c r="F18" i="96"/>
  <c r="D18" i="96"/>
  <c r="V16" i="96"/>
  <c r="P16" i="96"/>
  <c r="V14" i="96"/>
  <c r="T14" i="96"/>
  <c r="Z14" i="96" s="1"/>
  <c r="R14" i="96"/>
  <c r="P14" i="96"/>
  <c r="H14" i="96"/>
  <c r="N14" i="96" s="1"/>
  <c r="D14" i="96"/>
  <c r="L14" i="96" s="1"/>
  <c r="Z12" i="96"/>
  <c r="X12" i="96"/>
  <c r="T12" i="96"/>
  <c r="P12" i="96"/>
  <c r="R20" i="96" s="1"/>
  <c r="H12" i="96"/>
  <c r="J20" i="96" s="1"/>
  <c r="D12" i="96"/>
  <c r="D6" i="96"/>
  <c r="D4" i="96"/>
  <c r="Z83" i="95"/>
  <c r="X83" i="95"/>
  <c r="N83" i="95"/>
  <c r="L83" i="95"/>
  <c r="X79" i="95"/>
  <c r="T79" i="95"/>
  <c r="Z79" i="95" s="1"/>
  <c r="P79" i="95"/>
  <c r="L79" i="95"/>
  <c r="H79" i="95"/>
  <c r="N79" i="95" s="1"/>
  <c r="D79" i="95"/>
  <c r="Z77" i="95"/>
  <c r="X77" i="95"/>
  <c r="N77" i="95"/>
  <c r="L77" i="95"/>
  <c r="B77" i="95"/>
  <c r="T76" i="95"/>
  <c r="Z76" i="95" s="1"/>
  <c r="P76" i="95"/>
  <c r="X76" i="95" s="1"/>
  <c r="N76" i="95"/>
  <c r="H76" i="95"/>
  <c r="D76" i="95"/>
  <c r="L76" i="95" s="1"/>
  <c r="B76" i="95"/>
  <c r="X75" i="95"/>
  <c r="Z75" i="95" s="1"/>
  <c r="N75" i="95"/>
  <c r="L75" i="95"/>
  <c r="B75" i="95"/>
  <c r="X74" i="95"/>
  <c r="Z74" i="95" s="1"/>
  <c r="T74" i="95"/>
  <c r="P74" i="95"/>
  <c r="H74" i="95"/>
  <c r="N74" i="95" s="1"/>
  <c r="D74" i="95"/>
  <c r="B74" i="95"/>
  <c r="Z73" i="95"/>
  <c r="X73" i="95"/>
  <c r="N73" i="95"/>
  <c r="L73" i="95"/>
  <c r="B73" i="95"/>
  <c r="Z72" i="95"/>
  <c r="X72" i="95"/>
  <c r="N72" i="95"/>
  <c r="L72" i="95"/>
  <c r="J72" i="95"/>
  <c r="F72" i="95"/>
  <c r="B72" i="95"/>
  <c r="Z71" i="95"/>
  <c r="X71" i="95"/>
  <c r="N71" i="95"/>
  <c r="L71" i="95"/>
  <c r="F71" i="95"/>
  <c r="B71" i="95"/>
  <c r="Z70" i="95"/>
  <c r="X70" i="95"/>
  <c r="N70" i="95"/>
  <c r="L70" i="95"/>
  <c r="F70" i="95"/>
  <c r="B70" i="95"/>
  <c r="Z69" i="95"/>
  <c r="X69" i="95"/>
  <c r="N69" i="95"/>
  <c r="L69" i="95"/>
  <c r="B69" i="95"/>
  <c r="Z68" i="95"/>
  <c r="X68" i="95"/>
  <c r="N68" i="95"/>
  <c r="L68" i="95"/>
  <c r="B68" i="95"/>
  <c r="X67" i="95"/>
  <c r="T67" i="95"/>
  <c r="P67" i="95"/>
  <c r="H67" i="95"/>
  <c r="N67" i="95" s="1"/>
  <c r="D67" i="95"/>
  <c r="B67" i="95"/>
  <c r="Z66" i="95"/>
  <c r="X66" i="95"/>
  <c r="N66" i="95"/>
  <c r="L66" i="95"/>
  <c r="B66" i="95"/>
  <c r="Z65" i="95"/>
  <c r="X65" i="95"/>
  <c r="N65" i="95"/>
  <c r="L65" i="95"/>
  <c r="J65" i="95"/>
  <c r="B65" i="95"/>
  <c r="Z64" i="95"/>
  <c r="X64" i="95"/>
  <c r="N64" i="95"/>
  <c r="L64" i="95"/>
  <c r="B64" i="95"/>
  <c r="T63" i="95"/>
  <c r="P63" i="95"/>
  <c r="X63" i="95" s="1"/>
  <c r="H63" i="95"/>
  <c r="N63" i="95" s="1"/>
  <c r="D63" i="95"/>
  <c r="B63" i="95"/>
  <c r="Z62" i="95"/>
  <c r="X62" i="95"/>
  <c r="N62" i="95"/>
  <c r="L62" i="95"/>
  <c r="J62" i="95"/>
  <c r="B62" i="95"/>
  <c r="Z61" i="95"/>
  <c r="X61" i="95"/>
  <c r="N61" i="95"/>
  <c r="L61" i="95"/>
  <c r="B61" i="95"/>
  <c r="T60" i="95"/>
  <c r="P60" i="95"/>
  <c r="X60" i="95" s="1"/>
  <c r="N60" i="95"/>
  <c r="L60" i="95"/>
  <c r="H60" i="95"/>
  <c r="D60" i="95"/>
  <c r="B60" i="95"/>
  <c r="Z59" i="95"/>
  <c r="X59" i="95"/>
  <c r="N59" i="95"/>
  <c r="L59" i="95"/>
  <c r="B59" i="95"/>
  <c r="Z58" i="95"/>
  <c r="X58" i="95"/>
  <c r="T58" i="95"/>
  <c r="P58" i="95"/>
  <c r="H58" i="95"/>
  <c r="D58" i="95"/>
  <c r="B58" i="95"/>
  <c r="Z57" i="95"/>
  <c r="X57" i="95"/>
  <c r="N57" i="95"/>
  <c r="L57" i="95"/>
  <c r="B57" i="95"/>
  <c r="Z56" i="95"/>
  <c r="X56" i="95"/>
  <c r="T56" i="95"/>
  <c r="P56" i="95"/>
  <c r="N56" i="95"/>
  <c r="L56" i="95"/>
  <c r="H56" i="95"/>
  <c r="D56" i="95"/>
  <c r="B56" i="95"/>
  <c r="X55" i="95"/>
  <c r="Z55" i="95" s="1"/>
  <c r="N55" i="95"/>
  <c r="L55" i="95"/>
  <c r="B55" i="95"/>
  <c r="T54" i="95"/>
  <c r="P54" i="95"/>
  <c r="X54" i="95" s="1"/>
  <c r="H54" i="95"/>
  <c r="N54" i="95" s="1"/>
  <c r="D54" i="95"/>
  <c r="L54" i="95" s="1"/>
  <c r="B54" i="95"/>
  <c r="Z53" i="95"/>
  <c r="X53" i="95"/>
  <c r="N53" i="95"/>
  <c r="L53" i="95"/>
  <c r="B53" i="95"/>
  <c r="T52" i="95"/>
  <c r="P52" i="95"/>
  <c r="X52" i="95" s="1"/>
  <c r="N52" i="95"/>
  <c r="H52" i="95"/>
  <c r="D52" i="95"/>
  <c r="L52" i="95" s="1"/>
  <c r="B52" i="95"/>
  <c r="Z51" i="95"/>
  <c r="X51" i="95"/>
  <c r="N51" i="95"/>
  <c r="L51" i="95"/>
  <c r="B51" i="95"/>
  <c r="Z50" i="95"/>
  <c r="T50" i="95"/>
  <c r="P50" i="95"/>
  <c r="X50" i="95" s="1"/>
  <c r="N50" i="95"/>
  <c r="L50" i="95"/>
  <c r="H50" i="95"/>
  <c r="D50" i="95"/>
  <c r="B50" i="95"/>
  <c r="Z49" i="95"/>
  <c r="X49" i="95"/>
  <c r="N49" i="95"/>
  <c r="L49" i="95"/>
  <c r="B49" i="95"/>
  <c r="T48" i="95"/>
  <c r="P48" i="95"/>
  <c r="N48" i="95"/>
  <c r="H48" i="95"/>
  <c r="D48" i="95"/>
  <c r="L48" i="95" s="1"/>
  <c r="B48" i="95"/>
  <c r="X47" i="95"/>
  <c r="Z47" i="95" s="1"/>
  <c r="N47" i="95"/>
  <c r="L47" i="95"/>
  <c r="B47" i="95"/>
  <c r="Z46" i="95"/>
  <c r="T46" i="95"/>
  <c r="X46" i="95" s="1"/>
  <c r="P46" i="95"/>
  <c r="H46" i="95"/>
  <c r="F46" i="95"/>
  <c r="D46" i="95"/>
  <c r="B46" i="95"/>
  <c r="Z45" i="95"/>
  <c r="X45" i="95"/>
  <c r="N45" i="95"/>
  <c r="L45" i="95"/>
  <c r="B45" i="95"/>
  <c r="T44" i="95"/>
  <c r="Z44" i="95" s="1"/>
  <c r="P44" i="95"/>
  <c r="X44" i="95" s="1"/>
  <c r="N44" i="95"/>
  <c r="L44" i="95"/>
  <c r="H44" i="95"/>
  <c r="D44" i="95"/>
  <c r="B44" i="95"/>
  <c r="X43" i="95"/>
  <c r="Z43" i="95" s="1"/>
  <c r="N43" i="95"/>
  <c r="L43" i="95"/>
  <c r="B43" i="95"/>
  <c r="T42" i="95"/>
  <c r="P42" i="95"/>
  <c r="X42" i="95" s="1"/>
  <c r="Z42" i="95" s="1"/>
  <c r="H42" i="95"/>
  <c r="D42" i="95"/>
  <c r="B42" i="95"/>
  <c r="Z41" i="95"/>
  <c r="X41" i="95"/>
  <c r="N41" i="95"/>
  <c r="L41" i="95"/>
  <c r="F41" i="95"/>
  <c r="B41" i="95"/>
  <c r="Z40" i="95"/>
  <c r="X40" i="95"/>
  <c r="T40" i="95"/>
  <c r="P40" i="95"/>
  <c r="N40" i="95"/>
  <c r="H40" i="95"/>
  <c r="L40" i="95" s="1"/>
  <c r="D40" i="95"/>
  <c r="B40" i="95"/>
  <c r="Z39" i="95"/>
  <c r="X39" i="95"/>
  <c r="N39" i="95"/>
  <c r="L39" i="95"/>
  <c r="B39" i="95"/>
  <c r="Z38" i="95"/>
  <c r="X38" i="95"/>
  <c r="N38" i="95"/>
  <c r="L38" i="95"/>
  <c r="B38" i="95"/>
  <c r="Z37" i="95"/>
  <c r="X37" i="95"/>
  <c r="N37" i="95"/>
  <c r="L37" i="95"/>
  <c r="F37" i="95"/>
  <c r="B37" i="95"/>
  <c r="Z36" i="95"/>
  <c r="X36" i="95"/>
  <c r="N36" i="95"/>
  <c r="L36" i="95"/>
  <c r="F36" i="95"/>
  <c r="B36" i="95"/>
  <c r="X35" i="95"/>
  <c r="Z35" i="95" s="1"/>
  <c r="L35" i="95"/>
  <c r="N35" i="95" s="1"/>
  <c r="B35" i="95"/>
  <c r="T34" i="95"/>
  <c r="P34" i="95"/>
  <c r="X34" i="95" s="1"/>
  <c r="Z34" i="95" s="1"/>
  <c r="N34" i="95"/>
  <c r="L34" i="95"/>
  <c r="H34" i="95"/>
  <c r="D34" i="95"/>
  <c r="B34" i="95"/>
  <c r="X33" i="95"/>
  <c r="Z33" i="95" s="1"/>
  <c r="N33" i="95"/>
  <c r="L33" i="95"/>
  <c r="B33" i="95"/>
  <c r="X32" i="95"/>
  <c r="Z32" i="95" s="1"/>
  <c r="N32" i="95"/>
  <c r="L32" i="95"/>
  <c r="B32" i="95"/>
  <c r="Z31" i="95"/>
  <c r="X31" i="95"/>
  <c r="L31" i="95"/>
  <c r="N31" i="95" s="1"/>
  <c r="B31" i="95"/>
  <c r="Z30" i="95"/>
  <c r="X30" i="95"/>
  <c r="N30" i="95"/>
  <c r="L30" i="95"/>
  <c r="B30" i="95"/>
  <c r="X29" i="95"/>
  <c r="Z29" i="95" s="1"/>
  <c r="L29" i="95"/>
  <c r="N29" i="95" s="1"/>
  <c r="F29" i="95"/>
  <c r="B29" i="95"/>
  <c r="Z28" i="95"/>
  <c r="X28" i="95"/>
  <c r="N28" i="95"/>
  <c r="L28" i="95"/>
  <c r="F28" i="95"/>
  <c r="B28" i="95"/>
  <c r="X27" i="95"/>
  <c r="Z27" i="95" s="1"/>
  <c r="L27" i="95"/>
  <c r="N27" i="95" s="1"/>
  <c r="F27" i="95"/>
  <c r="B27" i="95"/>
  <c r="Z26" i="95"/>
  <c r="X26" i="95"/>
  <c r="N26" i="95"/>
  <c r="L26" i="95"/>
  <c r="B26" i="95"/>
  <c r="X25" i="95"/>
  <c r="Z25" i="95" s="1"/>
  <c r="N25" i="95"/>
  <c r="L25" i="95"/>
  <c r="B25" i="95"/>
  <c r="T24" i="95"/>
  <c r="P24" i="95"/>
  <c r="X24" i="95" s="1"/>
  <c r="N24" i="95"/>
  <c r="H24" i="95"/>
  <c r="D24" i="95"/>
  <c r="L24" i="95" s="1"/>
  <c r="B24" i="95"/>
  <c r="T23" i="95" a="1"/>
  <c r="T23" i="95" s="1"/>
  <c r="P23" i="95" a="1"/>
  <c r="P23" i="95"/>
  <c r="H23" i="95" a="1"/>
  <c r="H23" i="95" s="1"/>
  <c r="D23" i="95" a="1"/>
  <c r="D23" i="95"/>
  <c r="L23" i="95" s="1"/>
  <c r="Z19" i="95"/>
  <c r="X19" i="95"/>
  <c r="N19" i="95"/>
  <c r="L19" i="95"/>
  <c r="B19" i="95"/>
  <c r="Z18" i="95"/>
  <c r="X18" i="95"/>
  <c r="N18" i="95"/>
  <c r="L18" i="95"/>
  <c r="B18" i="95"/>
  <c r="T17" i="95"/>
  <c r="Z17" i="95" s="1"/>
  <c r="P17" i="95"/>
  <c r="X17" i="95" s="1"/>
  <c r="L17" i="95"/>
  <c r="H17" i="95"/>
  <c r="N17" i="95" s="1"/>
  <c r="D17" i="95"/>
  <c r="Z15" i="95"/>
  <c r="T15" i="95"/>
  <c r="P15" i="95"/>
  <c r="X15" i="95" s="1"/>
  <c r="N15" i="95"/>
  <c r="L15" i="95"/>
  <c r="H15" i="95"/>
  <c r="D15" i="95"/>
  <c r="B15" i="95"/>
  <c r="Z14" i="95"/>
  <c r="T14" i="95"/>
  <c r="P14" i="95"/>
  <c r="X14" i="95" s="1"/>
  <c r="N14" i="95"/>
  <c r="H14" i="95"/>
  <c r="D14" i="95"/>
  <c r="L14" i="95" s="1"/>
  <c r="B14" i="95"/>
  <c r="T13" i="95"/>
  <c r="Z13" i="95" s="1"/>
  <c r="P13" i="95"/>
  <c r="L13" i="95"/>
  <c r="H13" i="95"/>
  <c r="N13" i="95" s="1"/>
  <c r="D13" i="95"/>
  <c r="D12" i="95" s="1"/>
  <c r="F83" i="95" s="1"/>
  <c r="B13" i="95"/>
  <c r="H12" i="95"/>
  <c r="D6" i="95"/>
  <c r="D4" i="95"/>
  <c r="Z87" i="94"/>
  <c r="X87" i="94"/>
  <c r="N87" i="94"/>
  <c r="L87" i="94"/>
  <c r="Z83" i="94"/>
  <c r="T83" i="94"/>
  <c r="P83" i="94"/>
  <c r="N83" i="94"/>
  <c r="H83" i="94"/>
  <c r="D83" i="94"/>
  <c r="L83" i="94" s="1"/>
  <c r="Z81" i="94"/>
  <c r="X81" i="94"/>
  <c r="N81" i="94"/>
  <c r="L81" i="94"/>
  <c r="B81" i="94"/>
  <c r="T80" i="94"/>
  <c r="P80" i="94"/>
  <c r="L80" i="94"/>
  <c r="H80" i="94"/>
  <c r="N80" i="94" s="1"/>
  <c r="D80" i="94"/>
  <c r="B80" i="94"/>
  <c r="X79" i="94"/>
  <c r="Z79" i="94" s="1"/>
  <c r="N79" i="94"/>
  <c r="L79" i="94"/>
  <c r="B79" i="94"/>
  <c r="T78" i="94"/>
  <c r="X78" i="94" s="1"/>
  <c r="Z78" i="94" s="1"/>
  <c r="P78" i="94"/>
  <c r="H78" i="94"/>
  <c r="D78" i="94"/>
  <c r="L78" i="94" s="1"/>
  <c r="B78" i="94"/>
  <c r="Z77" i="94"/>
  <c r="X77" i="94"/>
  <c r="N77" i="94"/>
  <c r="L77" i="94"/>
  <c r="B77" i="94"/>
  <c r="Z76" i="94"/>
  <c r="X76" i="94"/>
  <c r="N76" i="94"/>
  <c r="L76" i="94"/>
  <c r="B76" i="94"/>
  <c r="X75" i="94"/>
  <c r="Z75" i="94" s="1"/>
  <c r="N75" i="94"/>
  <c r="L75" i="94"/>
  <c r="B75" i="94"/>
  <c r="Z74" i="94"/>
  <c r="X74" i="94"/>
  <c r="L74" i="94"/>
  <c r="N74" i="94" s="1"/>
  <c r="B74" i="94"/>
  <c r="Z73" i="94"/>
  <c r="X73" i="94"/>
  <c r="V73" i="94"/>
  <c r="N73" i="94"/>
  <c r="L73" i="94"/>
  <c r="B73" i="94"/>
  <c r="X72" i="94"/>
  <c r="Z72" i="94" s="1"/>
  <c r="L72" i="94"/>
  <c r="N72" i="94" s="1"/>
  <c r="B72" i="94"/>
  <c r="Z71" i="94"/>
  <c r="X71" i="94"/>
  <c r="L71" i="94"/>
  <c r="N71" i="94" s="1"/>
  <c r="B71" i="94"/>
  <c r="Z70" i="94"/>
  <c r="X70" i="94"/>
  <c r="N70" i="94"/>
  <c r="L70" i="94"/>
  <c r="B70" i="94"/>
  <c r="T69" i="94"/>
  <c r="P69" i="94"/>
  <c r="X69" i="94" s="1"/>
  <c r="Z69" i="94" s="1"/>
  <c r="N69" i="94"/>
  <c r="H69" i="94"/>
  <c r="D69" i="94"/>
  <c r="L69" i="94" s="1"/>
  <c r="B69" i="94"/>
  <c r="X68" i="94"/>
  <c r="Z68" i="94" s="1"/>
  <c r="N68" i="94"/>
  <c r="L68" i="94"/>
  <c r="B68" i="94"/>
  <c r="X67" i="94"/>
  <c r="Z67" i="94" s="1"/>
  <c r="T67" i="94"/>
  <c r="P67" i="94"/>
  <c r="N67" i="94"/>
  <c r="H67" i="94"/>
  <c r="D67" i="94"/>
  <c r="L67" i="94" s="1"/>
  <c r="B67" i="94"/>
  <c r="Z66" i="94"/>
  <c r="X66" i="94"/>
  <c r="L66" i="94"/>
  <c r="N66" i="94" s="1"/>
  <c r="B66" i="94"/>
  <c r="X65" i="94"/>
  <c r="Z65" i="94" s="1"/>
  <c r="N65" i="94"/>
  <c r="L65" i="94"/>
  <c r="B65" i="94"/>
  <c r="Z64" i="94"/>
  <c r="X64" i="94"/>
  <c r="N64" i="94"/>
  <c r="L64" i="94"/>
  <c r="B64" i="94"/>
  <c r="X63" i="94"/>
  <c r="Z63" i="94" s="1"/>
  <c r="V63" i="94"/>
  <c r="L63" i="94"/>
  <c r="N63" i="94" s="1"/>
  <c r="B63" i="94"/>
  <c r="X62" i="94"/>
  <c r="T62" i="94"/>
  <c r="P62" i="94"/>
  <c r="H62" i="94"/>
  <c r="D62" i="94"/>
  <c r="B62" i="94"/>
  <c r="X61" i="94"/>
  <c r="Z61" i="94" s="1"/>
  <c r="N61" i="94"/>
  <c r="L61" i="94"/>
  <c r="B61" i="94"/>
  <c r="Z60" i="94"/>
  <c r="X60" i="94"/>
  <c r="L60" i="94"/>
  <c r="N60" i="94" s="1"/>
  <c r="B60" i="94"/>
  <c r="T59" i="94"/>
  <c r="P59" i="94"/>
  <c r="X59" i="94" s="1"/>
  <c r="H59" i="94"/>
  <c r="D59" i="94"/>
  <c r="L59" i="94" s="1"/>
  <c r="N59" i="94" s="1"/>
  <c r="B59" i="94"/>
  <c r="Z58" i="94"/>
  <c r="X58" i="94"/>
  <c r="L58" i="94"/>
  <c r="N58" i="94" s="1"/>
  <c r="B58" i="94"/>
  <c r="T57" i="94"/>
  <c r="P57" i="94"/>
  <c r="X57" i="94" s="1"/>
  <c r="Z57" i="94" s="1"/>
  <c r="L57" i="94"/>
  <c r="N57" i="94" s="1"/>
  <c r="H57" i="94"/>
  <c r="D57" i="94"/>
  <c r="B57" i="94"/>
  <c r="X56" i="94"/>
  <c r="Z56" i="94" s="1"/>
  <c r="N56" i="94"/>
  <c r="L56" i="94"/>
  <c r="B56" i="94"/>
  <c r="Z55" i="94"/>
  <c r="X55" i="94"/>
  <c r="T55" i="94"/>
  <c r="P55" i="94"/>
  <c r="N55" i="94"/>
  <c r="L55" i="94"/>
  <c r="H55" i="94"/>
  <c r="D55" i="94"/>
  <c r="B55" i="94"/>
  <c r="X54" i="94"/>
  <c r="Z54" i="94" s="1"/>
  <c r="N54" i="94"/>
  <c r="L54" i="94"/>
  <c r="B54" i="94"/>
  <c r="Z53" i="94"/>
  <c r="X53" i="94"/>
  <c r="V53" i="94"/>
  <c r="T53" i="94"/>
  <c r="P53" i="94"/>
  <c r="H53" i="94"/>
  <c r="D53" i="94"/>
  <c r="L53" i="94" s="1"/>
  <c r="B53" i="94"/>
  <c r="Z52" i="94"/>
  <c r="X52" i="94"/>
  <c r="N52" i="94"/>
  <c r="L52" i="94"/>
  <c r="B52" i="94"/>
  <c r="T51" i="94"/>
  <c r="Z51" i="94" s="1"/>
  <c r="P51" i="94"/>
  <c r="N51" i="94"/>
  <c r="H51" i="94"/>
  <c r="D51" i="94"/>
  <c r="L51" i="94" s="1"/>
  <c r="B51" i="94"/>
  <c r="Z50" i="94"/>
  <c r="X50" i="94"/>
  <c r="L50" i="94"/>
  <c r="N50" i="94" s="1"/>
  <c r="B50" i="94"/>
  <c r="T49" i="94"/>
  <c r="P49" i="94"/>
  <c r="X49" i="94" s="1"/>
  <c r="Z49" i="94" s="1"/>
  <c r="L49" i="94"/>
  <c r="N49" i="94" s="1"/>
  <c r="H49" i="94"/>
  <c r="D49" i="94"/>
  <c r="B49" i="94"/>
  <c r="Z48" i="94"/>
  <c r="X48" i="94"/>
  <c r="V48" i="94"/>
  <c r="N48" i="94"/>
  <c r="L48" i="94"/>
  <c r="B48" i="94"/>
  <c r="X47" i="94"/>
  <c r="Z47" i="94" s="1"/>
  <c r="T47" i="94"/>
  <c r="P47" i="94"/>
  <c r="H47" i="94"/>
  <c r="D47" i="94"/>
  <c r="B47" i="94"/>
  <c r="X46" i="94"/>
  <c r="Z46" i="94" s="1"/>
  <c r="V46" i="94"/>
  <c r="N46" i="94"/>
  <c r="L46" i="94"/>
  <c r="B46" i="94"/>
  <c r="X45" i="94"/>
  <c r="T45" i="94"/>
  <c r="P45" i="94"/>
  <c r="H45" i="94"/>
  <c r="D45" i="94"/>
  <c r="B45" i="94"/>
  <c r="Z44" i="94"/>
  <c r="X44" i="94"/>
  <c r="L44" i="94"/>
  <c r="N44" i="94" s="1"/>
  <c r="B44" i="94"/>
  <c r="V43" i="94"/>
  <c r="T43" i="94"/>
  <c r="P43" i="94"/>
  <c r="H43" i="94"/>
  <c r="D43" i="94"/>
  <c r="L43" i="94" s="1"/>
  <c r="N43" i="94" s="1"/>
  <c r="B43" i="94"/>
  <c r="Z42" i="94"/>
  <c r="X42" i="94"/>
  <c r="N42" i="94"/>
  <c r="L42" i="94"/>
  <c r="B42" i="94"/>
  <c r="T41" i="94"/>
  <c r="P41" i="94"/>
  <c r="X41" i="94" s="1"/>
  <c r="Z41" i="94" s="1"/>
  <c r="N41" i="94"/>
  <c r="L41" i="94"/>
  <c r="H41" i="94"/>
  <c r="D41" i="94"/>
  <c r="B41" i="94"/>
  <c r="X40" i="94"/>
  <c r="Z40" i="94" s="1"/>
  <c r="N40" i="94"/>
  <c r="L40" i="94"/>
  <c r="B40" i="94"/>
  <c r="Z39" i="94"/>
  <c r="X39" i="94"/>
  <c r="L39" i="94"/>
  <c r="N39" i="94" s="1"/>
  <c r="B39" i="94"/>
  <c r="Z38" i="94"/>
  <c r="X38" i="94"/>
  <c r="L38" i="94"/>
  <c r="N38" i="94" s="1"/>
  <c r="B38" i="94"/>
  <c r="X37" i="94"/>
  <c r="Z37" i="94" s="1"/>
  <c r="L37" i="94"/>
  <c r="N37" i="94" s="1"/>
  <c r="B37" i="94"/>
  <c r="Z36" i="94"/>
  <c r="X36" i="94"/>
  <c r="L36" i="94"/>
  <c r="N36" i="94" s="1"/>
  <c r="B36" i="94"/>
  <c r="X35" i="94"/>
  <c r="Z35" i="94" s="1"/>
  <c r="V35" i="94"/>
  <c r="N35" i="94"/>
  <c r="L35" i="94"/>
  <c r="B35" i="94"/>
  <c r="X34" i="94"/>
  <c r="V34" i="94"/>
  <c r="T34" i="94"/>
  <c r="P34" i="94"/>
  <c r="H34" i="94"/>
  <c r="D34" i="94"/>
  <c r="B34" i="94"/>
  <c r="X33" i="94"/>
  <c r="Z33" i="94" s="1"/>
  <c r="L33" i="94"/>
  <c r="N33" i="94" s="1"/>
  <c r="B33" i="94"/>
  <c r="Z32" i="94"/>
  <c r="X32" i="94"/>
  <c r="L32" i="94"/>
  <c r="N32" i="94" s="1"/>
  <c r="B32" i="94"/>
  <c r="X31" i="94"/>
  <c r="Z31" i="94" s="1"/>
  <c r="N31" i="94"/>
  <c r="L31" i="94"/>
  <c r="B31" i="94"/>
  <c r="X30" i="94"/>
  <c r="Z30" i="94" s="1"/>
  <c r="N30" i="94"/>
  <c r="L30" i="94"/>
  <c r="B30" i="94"/>
  <c r="X29" i="94"/>
  <c r="Z29" i="94" s="1"/>
  <c r="L29" i="94"/>
  <c r="N29" i="94" s="1"/>
  <c r="B29" i="94"/>
  <c r="X28" i="94"/>
  <c r="Z28" i="94" s="1"/>
  <c r="N28" i="94"/>
  <c r="L28" i="94"/>
  <c r="B28" i="94"/>
  <c r="Z27" i="94"/>
  <c r="X27" i="94"/>
  <c r="L27" i="94"/>
  <c r="N27" i="94" s="1"/>
  <c r="B27" i="94"/>
  <c r="Z26" i="94"/>
  <c r="X26" i="94"/>
  <c r="L26" i="94"/>
  <c r="N26" i="94" s="1"/>
  <c r="B26" i="94"/>
  <c r="X25" i="94"/>
  <c r="Z25" i="94" s="1"/>
  <c r="L25" i="94"/>
  <c r="N25" i="94" s="1"/>
  <c r="B25" i="94"/>
  <c r="Z24" i="94"/>
  <c r="T24" i="94"/>
  <c r="P24" i="94"/>
  <c r="X24" i="94" s="1"/>
  <c r="N24" i="94"/>
  <c r="H24" i="94"/>
  <c r="D24" i="94"/>
  <c r="L24" i="94" s="1"/>
  <c r="B24" i="94"/>
  <c r="T23" i="94" a="1"/>
  <c r="T23" i="94" s="1"/>
  <c r="P23" i="94" a="1"/>
  <c r="P23" i="94" s="1"/>
  <c r="X23" i="94" s="1"/>
  <c r="N23" i="94"/>
  <c r="H23" i="94" a="1"/>
  <c r="H23" i="94" s="1"/>
  <c r="L23" i="94" s="1"/>
  <c r="D23" i="94" a="1"/>
  <c r="D23" i="94"/>
  <c r="X19" i="94"/>
  <c r="Z19" i="94" s="1"/>
  <c r="V19" i="94"/>
  <c r="N19" i="94"/>
  <c r="L19" i="94"/>
  <c r="B19" i="94"/>
  <c r="X18" i="94"/>
  <c r="Z18" i="94" s="1"/>
  <c r="V18" i="94"/>
  <c r="N18" i="94"/>
  <c r="L18" i="94"/>
  <c r="B18" i="94"/>
  <c r="T17" i="94"/>
  <c r="P17" i="94"/>
  <c r="H17" i="94"/>
  <c r="D17" i="94"/>
  <c r="X15" i="94"/>
  <c r="Z15" i="94" s="1"/>
  <c r="T15" i="94"/>
  <c r="P15" i="94"/>
  <c r="H15" i="94"/>
  <c r="D15" i="94"/>
  <c r="L15" i="94" s="1"/>
  <c r="B15" i="94"/>
  <c r="T14" i="94"/>
  <c r="P14" i="94"/>
  <c r="L14" i="94"/>
  <c r="H14" i="94"/>
  <c r="N14" i="94" s="1"/>
  <c r="D14" i="94"/>
  <c r="B14" i="94"/>
  <c r="T13" i="94"/>
  <c r="P13" i="94"/>
  <c r="X13" i="94" s="1"/>
  <c r="N13" i="94"/>
  <c r="H13" i="94"/>
  <c r="D13" i="94"/>
  <c r="L13" i="94" s="1"/>
  <c r="B13" i="94"/>
  <c r="T12" i="94"/>
  <c r="V83" i="94" s="1"/>
  <c r="D6" i="94"/>
  <c r="D4" i="94"/>
  <c r="R33" i="93"/>
  <c r="R30" i="93"/>
  <c r="Z28" i="93"/>
  <c r="X28" i="93"/>
  <c r="R28" i="93"/>
  <c r="N28" i="93"/>
  <c r="L28" i="93"/>
  <c r="R26" i="93"/>
  <c r="J26" i="93"/>
  <c r="F26" i="93"/>
  <c r="T24" i="93"/>
  <c r="Z24" i="93" s="1"/>
  <c r="R24" i="93"/>
  <c r="P24" i="93"/>
  <c r="N24" i="93"/>
  <c r="L24" i="93"/>
  <c r="J24" i="93"/>
  <c r="H24" i="93"/>
  <c r="D24" i="93"/>
  <c r="X22" i="93"/>
  <c r="Z22" i="93" s="1"/>
  <c r="R22" i="93"/>
  <c r="N22" i="93"/>
  <c r="L22" i="93"/>
  <c r="B22" i="93"/>
  <c r="T21" i="93"/>
  <c r="P21" i="93"/>
  <c r="N21" i="93"/>
  <c r="H21" i="93"/>
  <c r="L21" i="93" s="1"/>
  <c r="F21" i="93"/>
  <c r="D21" i="93"/>
  <c r="B21" i="93"/>
  <c r="Z20" i="93"/>
  <c r="X20" i="93"/>
  <c r="N20" i="93"/>
  <c r="L20" i="93"/>
  <c r="B20" i="93"/>
  <c r="Z19" i="93"/>
  <c r="T19" i="93"/>
  <c r="R19" i="93"/>
  <c r="P19" i="93"/>
  <c r="X19" i="93" s="1"/>
  <c r="H19" i="93"/>
  <c r="N19" i="93" s="1"/>
  <c r="D19" i="93"/>
  <c r="B19" i="93"/>
  <c r="T18" i="93" a="1"/>
  <c r="T18" i="93"/>
  <c r="P18" i="93" a="1"/>
  <c r="P18" i="93" s="1"/>
  <c r="X18" i="93" s="1"/>
  <c r="N18" i="93"/>
  <c r="H18" i="93" a="1"/>
  <c r="H18" i="93"/>
  <c r="D18" i="93" a="1"/>
  <c r="D18" i="93" s="1"/>
  <c r="L18" i="93" s="1"/>
  <c r="R16" i="93"/>
  <c r="J16" i="93"/>
  <c r="F16" i="93"/>
  <c r="Z14" i="93"/>
  <c r="T14" i="93"/>
  <c r="X14" i="93" s="1"/>
  <c r="R14" i="93"/>
  <c r="P14" i="93"/>
  <c r="N14" i="93"/>
  <c r="J14" i="93"/>
  <c r="H14" i="93"/>
  <c r="D14" i="93"/>
  <c r="L14" i="93" s="1"/>
  <c r="T12" i="93"/>
  <c r="P12" i="93"/>
  <c r="R21" i="93" s="1"/>
  <c r="N12" i="93"/>
  <c r="H12" i="93"/>
  <c r="J33" i="93" s="1"/>
  <c r="D12" i="93"/>
  <c r="D6" i="93"/>
  <c r="D4" i="93"/>
  <c r="Z81" i="92"/>
  <c r="X81" i="92"/>
  <c r="L81" i="92"/>
  <c r="N81" i="92" s="1"/>
  <c r="Z77" i="92"/>
  <c r="X77" i="92"/>
  <c r="T77" i="92"/>
  <c r="P77" i="92"/>
  <c r="N77" i="92"/>
  <c r="H77" i="92"/>
  <c r="L77" i="92" s="1"/>
  <c r="F77" i="92"/>
  <c r="D77" i="92"/>
  <c r="Z75" i="92"/>
  <c r="X75" i="92"/>
  <c r="L75" i="92"/>
  <c r="N75" i="92" s="1"/>
  <c r="B75" i="92"/>
  <c r="X74" i="92"/>
  <c r="T74" i="92"/>
  <c r="P74" i="92"/>
  <c r="H74" i="92"/>
  <c r="D74" i="92"/>
  <c r="B74" i="92"/>
  <c r="Z73" i="92"/>
  <c r="X73" i="92"/>
  <c r="N73" i="92"/>
  <c r="L73" i="92"/>
  <c r="F73" i="92"/>
  <c r="B73" i="92"/>
  <c r="Z72" i="92"/>
  <c r="X72" i="92"/>
  <c r="N72" i="92"/>
  <c r="L72" i="92"/>
  <c r="F72" i="92"/>
  <c r="B72" i="92"/>
  <c r="Z71" i="92"/>
  <c r="X71" i="92"/>
  <c r="N71" i="92"/>
  <c r="L71" i="92"/>
  <c r="B71" i="92"/>
  <c r="X70" i="92"/>
  <c r="Z70" i="92" s="1"/>
  <c r="N70" i="92"/>
  <c r="L70" i="92"/>
  <c r="B70" i="92"/>
  <c r="Z69" i="92"/>
  <c r="X69" i="92"/>
  <c r="N69" i="92"/>
  <c r="L69" i="92"/>
  <c r="B69" i="92"/>
  <c r="X68" i="92"/>
  <c r="Z68" i="92" s="1"/>
  <c r="N68" i="92"/>
  <c r="L68" i="92"/>
  <c r="B68" i="92"/>
  <c r="X67" i="92"/>
  <c r="Z67" i="92" s="1"/>
  <c r="N67" i="92"/>
  <c r="L67" i="92"/>
  <c r="B67" i="92"/>
  <c r="Z66" i="92"/>
  <c r="X66" i="92"/>
  <c r="N66" i="92"/>
  <c r="L66" i="92"/>
  <c r="B66" i="92"/>
  <c r="Z65" i="92"/>
  <c r="T65" i="92"/>
  <c r="P65" i="92"/>
  <c r="X65" i="92" s="1"/>
  <c r="N65" i="92"/>
  <c r="L65" i="92"/>
  <c r="H65" i="92"/>
  <c r="F65" i="92"/>
  <c r="D65" i="92"/>
  <c r="B65" i="92"/>
  <c r="X64" i="92"/>
  <c r="Z64" i="92" s="1"/>
  <c r="L64" i="92"/>
  <c r="N64" i="92" s="1"/>
  <c r="F64" i="92"/>
  <c r="B64" i="92"/>
  <c r="X63" i="92"/>
  <c r="Z63" i="92" s="1"/>
  <c r="N63" i="92"/>
  <c r="L63" i="92"/>
  <c r="B63" i="92"/>
  <c r="Z62" i="92"/>
  <c r="X62" i="92"/>
  <c r="N62" i="92"/>
  <c r="L62" i="92"/>
  <c r="B62" i="92"/>
  <c r="T61" i="92"/>
  <c r="P61" i="92"/>
  <c r="X61" i="92" s="1"/>
  <c r="Z61" i="92" s="1"/>
  <c r="L61" i="92"/>
  <c r="N61" i="92" s="1"/>
  <c r="H61" i="92"/>
  <c r="D61" i="92"/>
  <c r="B61" i="92"/>
  <c r="X60" i="92"/>
  <c r="Z60" i="92" s="1"/>
  <c r="N60" i="92"/>
  <c r="L60" i="92"/>
  <c r="B60" i="92"/>
  <c r="X59" i="92"/>
  <c r="Z59" i="92" s="1"/>
  <c r="N59" i="92"/>
  <c r="L59" i="92"/>
  <c r="B59" i="92"/>
  <c r="T58" i="92"/>
  <c r="P58" i="92"/>
  <c r="H58" i="92"/>
  <c r="N58" i="92" s="1"/>
  <c r="D58" i="92"/>
  <c r="B58" i="92"/>
  <c r="Z57" i="92"/>
  <c r="X57" i="92"/>
  <c r="N57" i="92"/>
  <c r="L57" i="92"/>
  <c r="B57" i="92"/>
  <c r="T56" i="92"/>
  <c r="P56" i="92"/>
  <c r="X56" i="92" s="1"/>
  <c r="H56" i="92"/>
  <c r="N56" i="92" s="1"/>
  <c r="D56" i="92"/>
  <c r="L56" i="92" s="1"/>
  <c r="B56" i="92"/>
  <c r="Z55" i="92"/>
  <c r="X55" i="92"/>
  <c r="N55" i="92"/>
  <c r="L55" i="92"/>
  <c r="B55" i="92"/>
  <c r="T54" i="92"/>
  <c r="P54" i="92"/>
  <c r="X54" i="92" s="1"/>
  <c r="L54" i="92"/>
  <c r="H54" i="92"/>
  <c r="N54" i="92" s="1"/>
  <c r="D54" i="92"/>
  <c r="B54" i="92"/>
  <c r="Z53" i="92"/>
  <c r="X53" i="92"/>
  <c r="N53" i="92"/>
  <c r="L53" i="92"/>
  <c r="F53" i="92"/>
  <c r="B53" i="92"/>
  <c r="X52" i="92"/>
  <c r="T52" i="92"/>
  <c r="P52" i="92"/>
  <c r="H52" i="92"/>
  <c r="D52" i="92"/>
  <c r="B52" i="92"/>
  <c r="Z51" i="92"/>
  <c r="X51" i="92"/>
  <c r="N51" i="92"/>
  <c r="L51" i="92"/>
  <c r="B51" i="92"/>
  <c r="Z50" i="92"/>
  <c r="X50" i="92"/>
  <c r="T50" i="92"/>
  <c r="P50" i="92"/>
  <c r="H50" i="92"/>
  <c r="N50" i="92" s="1"/>
  <c r="D50" i="92"/>
  <c r="L50" i="92" s="1"/>
  <c r="B50" i="92"/>
  <c r="Z49" i="92"/>
  <c r="X49" i="92"/>
  <c r="N49" i="92"/>
  <c r="L49" i="92"/>
  <c r="B49" i="92"/>
  <c r="T48" i="92"/>
  <c r="Z48" i="92" s="1"/>
  <c r="P48" i="92"/>
  <c r="X48" i="92" s="1"/>
  <c r="H48" i="92"/>
  <c r="N48" i="92" s="1"/>
  <c r="D48" i="92"/>
  <c r="L48" i="92" s="1"/>
  <c r="B48" i="92"/>
  <c r="Z47" i="92"/>
  <c r="X47" i="92"/>
  <c r="L47" i="92"/>
  <c r="N47" i="92" s="1"/>
  <c r="B47" i="92"/>
  <c r="T46" i="92"/>
  <c r="P46" i="92"/>
  <c r="X46" i="92" s="1"/>
  <c r="L46" i="92"/>
  <c r="H46" i="92"/>
  <c r="D46" i="92"/>
  <c r="B46" i="92"/>
  <c r="Z45" i="92"/>
  <c r="X45" i="92"/>
  <c r="N45" i="92"/>
  <c r="L45" i="92"/>
  <c r="B45" i="92"/>
  <c r="X44" i="92"/>
  <c r="T44" i="92"/>
  <c r="Z44" i="92" s="1"/>
  <c r="P44" i="92"/>
  <c r="N44" i="92"/>
  <c r="H44" i="92"/>
  <c r="L44" i="92" s="1"/>
  <c r="D44" i="92"/>
  <c r="B44" i="92"/>
  <c r="Z43" i="92"/>
  <c r="X43" i="92"/>
  <c r="N43" i="92"/>
  <c r="L43" i="92"/>
  <c r="B43" i="92"/>
  <c r="T42" i="92"/>
  <c r="Z42" i="92" s="1"/>
  <c r="P42" i="92"/>
  <c r="X42" i="92" s="1"/>
  <c r="H42" i="92"/>
  <c r="N42" i="92" s="1"/>
  <c r="D42" i="92"/>
  <c r="L42" i="92" s="1"/>
  <c r="B42" i="92"/>
  <c r="Z41" i="92"/>
  <c r="X41" i="92"/>
  <c r="N41" i="92"/>
  <c r="L41" i="92"/>
  <c r="B41" i="92"/>
  <c r="T40" i="92"/>
  <c r="P40" i="92"/>
  <c r="X40" i="92" s="1"/>
  <c r="L40" i="92"/>
  <c r="H40" i="92"/>
  <c r="N40" i="92" s="1"/>
  <c r="F40" i="92"/>
  <c r="D40" i="92"/>
  <c r="B40" i="92"/>
  <c r="Z39" i="92"/>
  <c r="X39" i="92"/>
  <c r="N39" i="92"/>
  <c r="L39" i="92"/>
  <c r="B39" i="92"/>
  <c r="X38" i="92"/>
  <c r="Z38" i="92" s="1"/>
  <c r="L38" i="92"/>
  <c r="N38" i="92" s="1"/>
  <c r="B38" i="92"/>
  <c r="Z37" i="92"/>
  <c r="X37" i="92"/>
  <c r="N37" i="92"/>
  <c r="L37" i="92"/>
  <c r="B37" i="92"/>
  <c r="X36" i="92"/>
  <c r="Z36" i="92" s="1"/>
  <c r="L36" i="92"/>
  <c r="N36" i="92" s="1"/>
  <c r="F36" i="92"/>
  <c r="B36" i="92"/>
  <c r="X35" i="92"/>
  <c r="Z35" i="92" s="1"/>
  <c r="N35" i="92"/>
  <c r="L35" i="92"/>
  <c r="B35" i="92"/>
  <c r="T34" i="92"/>
  <c r="P34" i="92"/>
  <c r="X34" i="92" s="1"/>
  <c r="Z34" i="92" s="1"/>
  <c r="H34" i="92"/>
  <c r="D34" i="92"/>
  <c r="L34" i="92" s="1"/>
  <c r="B34" i="92"/>
  <c r="Z33" i="92"/>
  <c r="X33" i="92"/>
  <c r="N33" i="92"/>
  <c r="L33" i="92"/>
  <c r="B33" i="92"/>
  <c r="X32" i="92"/>
  <c r="Z32" i="92" s="1"/>
  <c r="L32" i="92"/>
  <c r="N32" i="92" s="1"/>
  <c r="B32" i="92"/>
  <c r="X31" i="92"/>
  <c r="Z31" i="92" s="1"/>
  <c r="N31" i="92"/>
  <c r="L31" i="92"/>
  <c r="B31" i="92"/>
  <c r="Z30" i="92"/>
  <c r="X30" i="92"/>
  <c r="L30" i="92"/>
  <c r="N30" i="92" s="1"/>
  <c r="B30" i="92"/>
  <c r="Z29" i="92"/>
  <c r="X29" i="92"/>
  <c r="N29" i="92"/>
  <c r="L29" i="92"/>
  <c r="F29" i="92"/>
  <c r="B29" i="92"/>
  <c r="X28" i="92"/>
  <c r="Z28" i="92" s="1"/>
  <c r="L28" i="92"/>
  <c r="N28" i="92" s="1"/>
  <c r="B28" i="92"/>
  <c r="Z27" i="92"/>
  <c r="X27" i="92"/>
  <c r="L27" i="92"/>
  <c r="N27" i="92" s="1"/>
  <c r="B27" i="92"/>
  <c r="X26" i="92"/>
  <c r="Z26" i="92" s="1"/>
  <c r="L26" i="92"/>
  <c r="N26" i="92" s="1"/>
  <c r="F26" i="92"/>
  <c r="B26" i="92"/>
  <c r="Z25" i="92"/>
  <c r="X25" i="92"/>
  <c r="N25" i="92"/>
  <c r="L25" i="92"/>
  <c r="B25" i="92"/>
  <c r="T24" i="92"/>
  <c r="P24" i="92"/>
  <c r="H24" i="92"/>
  <c r="D24" i="92"/>
  <c r="L24" i="92" s="1"/>
  <c r="B24" i="92"/>
  <c r="T23" i="92" a="1"/>
  <c r="T23" i="92"/>
  <c r="P23" i="92" a="1"/>
  <c r="P23" i="92" s="1"/>
  <c r="X23" i="92" s="1"/>
  <c r="Z23" i="92" s="1"/>
  <c r="N23" i="92"/>
  <c r="H23" i="92" a="1"/>
  <c r="H23" i="92"/>
  <c r="D23" i="92" a="1"/>
  <c r="D23" i="92" s="1"/>
  <c r="L23" i="92" s="1"/>
  <c r="X19" i="92"/>
  <c r="Z19" i="92" s="1"/>
  <c r="N19" i="92"/>
  <c r="L19" i="92"/>
  <c r="B19" i="92"/>
  <c r="X18" i="92"/>
  <c r="Z18" i="92" s="1"/>
  <c r="N18" i="92"/>
  <c r="L18" i="92"/>
  <c r="B18" i="92"/>
  <c r="Z17" i="92"/>
  <c r="T17" i="92"/>
  <c r="P17" i="92"/>
  <c r="X17" i="92" s="1"/>
  <c r="N17" i="92"/>
  <c r="L17" i="92"/>
  <c r="H17" i="92"/>
  <c r="F17" i="92"/>
  <c r="D17" i="92"/>
  <c r="Z15" i="92"/>
  <c r="T15" i="92"/>
  <c r="P15" i="92"/>
  <c r="X15" i="92" s="1"/>
  <c r="H15" i="92"/>
  <c r="N15" i="92" s="1"/>
  <c r="D15" i="92"/>
  <c r="L15" i="92" s="1"/>
  <c r="B15" i="92"/>
  <c r="T14" i="92"/>
  <c r="P14" i="92"/>
  <c r="X14" i="92" s="1"/>
  <c r="H14" i="92"/>
  <c r="N14" i="92" s="1"/>
  <c r="D14" i="92"/>
  <c r="D12" i="92" s="1"/>
  <c r="B14" i="92"/>
  <c r="T13" i="92"/>
  <c r="P13" i="92"/>
  <c r="N13" i="92"/>
  <c r="H13" i="92"/>
  <c r="D13" i="92"/>
  <c r="B13" i="92"/>
  <c r="D6" i="92"/>
  <c r="D4" i="92"/>
  <c r="V52" i="91"/>
  <c r="F52" i="91"/>
  <c r="D52" i="91"/>
  <c r="Z50" i="91"/>
  <c r="X50" i="91"/>
  <c r="N50" i="91"/>
  <c r="L50" i="91"/>
  <c r="J50" i="91"/>
  <c r="F50" i="91"/>
  <c r="T48" i="91"/>
  <c r="V46" i="91"/>
  <c r="T46" i="91"/>
  <c r="Z46" i="91" s="1"/>
  <c r="P46" i="91"/>
  <c r="X46" i="91" s="1"/>
  <c r="L46" i="91"/>
  <c r="H46" i="91"/>
  <c r="N46" i="91" s="1"/>
  <c r="F46" i="91"/>
  <c r="D46" i="91"/>
  <c r="Z44" i="91"/>
  <c r="X44" i="91"/>
  <c r="N44" i="91"/>
  <c r="L44" i="91"/>
  <c r="J44" i="91"/>
  <c r="F44" i="91"/>
  <c r="B44" i="91"/>
  <c r="Z43" i="91"/>
  <c r="V43" i="91"/>
  <c r="T43" i="91"/>
  <c r="P43" i="91"/>
  <c r="X43" i="91" s="1"/>
  <c r="N43" i="91"/>
  <c r="J43" i="91"/>
  <c r="H43" i="91"/>
  <c r="F43" i="91"/>
  <c r="D43" i="91"/>
  <c r="L43" i="91" s="1"/>
  <c r="B43" i="91"/>
  <c r="Z42" i="91"/>
  <c r="X42" i="91"/>
  <c r="R42" i="91"/>
  <c r="N42" i="91"/>
  <c r="L42" i="91"/>
  <c r="B42" i="91"/>
  <c r="Z41" i="91"/>
  <c r="V41" i="91"/>
  <c r="T41" i="91"/>
  <c r="P41" i="91"/>
  <c r="X41" i="91" s="1"/>
  <c r="N41" i="91"/>
  <c r="L41" i="91"/>
  <c r="J41" i="91"/>
  <c r="H41" i="91"/>
  <c r="F41" i="91"/>
  <c r="D41" i="91"/>
  <c r="B41" i="91"/>
  <c r="X40" i="91"/>
  <c r="Z40" i="91" s="1"/>
  <c r="V40" i="91"/>
  <c r="N40" i="91"/>
  <c r="L40" i="91"/>
  <c r="F40" i="91"/>
  <c r="B40" i="91"/>
  <c r="X39" i="91"/>
  <c r="Z39" i="91" s="1"/>
  <c r="V39" i="91"/>
  <c r="T39" i="91"/>
  <c r="P39" i="91"/>
  <c r="N39" i="91"/>
  <c r="H39" i="91"/>
  <c r="L39" i="91" s="1"/>
  <c r="F39" i="91"/>
  <c r="D39" i="91"/>
  <c r="B39" i="91"/>
  <c r="Z38" i="91"/>
  <c r="X38" i="91"/>
  <c r="N38" i="91"/>
  <c r="L38" i="91"/>
  <c r="F38" i="91"/>
  <c r="B38" i="91"/>
  <c r="Z37" i="91"/>
  <c r="X37" i="91"/>
  <c r="V37" i="91"/>
  <c r="N37" i="91"/>
  <c r="L37" i="91"/>
  <c r="J37" i="91"/>
  <c r="B37" i="91"/>
  <c r="V36" i="91"/>
  <c r="T36" i="91"/>
  <c r="P36" i="91"/>
  <c r="L36" i="91"/>
  <c r="H36" i="91"/>
  <c r="N36" i="91" s="1"/>
  <c r="F36" i="91"/>
  <c r="D36" i="91"/>
  <c r="B36" i="91"/>
  <c r="Z35" i="91"/>
  <c r="X35" i="91"/>
  <c r="V35" i="91"/>
  <c r="L35" i="91"/>
  <c r="N35" i="91" s="1"/>
  <c r="J35" i="91"/>
  <c r="B35" i="91"/>
  <c r="T34" i="91"/>
  <c r="P34" i="91"/>
  <c r="X34" i="91" s="1"/>
  <c r="H34" i="91"/>
  <c r="D34" i="91"/>
  <c r="B34" i="91"/>
  <c r="Z33" i="91"/>
  <c r="X33" i="91"/>
  <c r="V33" i="91"/>
  <c r="N33" i="91"/>
  <c r="L33" i="91"/>
  <c r="F33" i="91"/>
  <c r="B33" i="91"/>
  <c r="X32" i="91"/>
  <c r="T32" i="91"/>
  <c r="P32" i="91"/>
  <c r="N32" i="91"/>
  <c r="H32" i="91"/>
  <c r="D32" i="91"/>
  <c r="L32" i="91" s="1"/>
  <c r="B32" i="91"/>
  <c r="Z31" i="91"/>
  <c r="X31" i="91"/>
  <c r="V31" i="91"/>
  <c r="N31" i="91"/>
  <c r="L31" i="91"/>
  <c r="J31" i="91"/>
  <c r="B31" i="91"/>
  <c r="X30" i="91"/>
  <c r="T30" i="91"/>
  <c r="Z30" i="91" s="1"/>
  <c r="P30" i="91"/>
  <c r="J30" i="91"/>
  <c r="H30" i="91"/>
  <c r="N30" i="91" s="1"/>
  <c r="D30" i="91"/>
  <c r="B30" i="91"/>
  <c r="Z29" i="91"/>
  <c r="X29" i="91"/>
  <c r="V29" i="91"/>
  <c r="N29" i="91"/>
  <c r="L29" i="91"/>
  <c r="J29" i="91"/>
  <c r="B29" i="91"/>
  <c r="V28" i="91"/>
  <c r="T28" i="91"/>
  <c r="P28" i="91"/>
  <c r="L28" i="91"/>
  <c r="H28" i="91"/>
  <c r="N28" i="91" s="1"/>
  <c r="F28" i="91"/>
  <c r="D28" i="91"/>
  <c r="B28" i="91"/>
  <c r="Z27" i="91"/>
  <c r="X27" i="91"/>
  <c r="V27" i="91"/>
  <c r="N27" i="91"/>
  <c r="L27" i="91"/>
  <c r="J27" i="91"/>
  <c r="B27" i="91"/>
  <c r="X26" i="91"/>
  <c r="Z26" i="91" s="1"/>
  <c r="L26" i="91"/>
  <c r="N26" i="91" s="1"/>
  <c r="F26" i="91"/>
  <c r="B26" i="91"/>
  <c r="Z25" i="91"/>
  <c r="X25" i="91"/>
  <c r="V25" i="91"/>
  <c r="R25" i="91"/>
  <c r="N25" i="91"/>
  <c r="L25" i="91"/>
  <c r="J25" i="91"/>
  <c r="B25" i="91"/>
  <c r="X24" i="91"/>
  <c r="Z24" i="91" s="1"/>
  <c r="V24" i="91"/>
  <c r="L24" i="91"/>
  <c r="N24" i="91" s="1"/>
  <c r="F24" i="91"/>
  <c r="B24" i="91"/>
  <c r="X23" i="91"/>
  <c r="Z23" i="91" s="1"/>
  <c r="V23" i="91"/>
  <c r="N23" i="91"/>
  <c r="L23" i="91"/>
  <c r="J23" i="91"/>
  <c r="B23" i="91"/>
  <c r="X22" i="91"/>
  <c r="Z22" i="91" s="1"/>
  <c r="L22" i="91"/>
  <c r="N22" i="91" s="1"/>
  <c r="B22" i="91"/>
  <c r="Z21" i="91"/>
  <c r="X21" i="91"/>
  <c r="V21" i="91"/>
  <c r="N21" i="91"/>
  <c r="L21" i="91"/>
  <c r="J21" i="91"/>
  <c r="F21" i="91"/>
  <c r="B21" i="91"/>
  <c r="X20" i="91"/>
  <c r="Z20" i="91" s="1"/>
  <c r="V20" i="91"/>
  <c r="L20" i="91"/>
  <c r="N20" i="91" s="1"/>
  <c r="J20" i="91"/>
  <c r="F20" i="91"/>
  <c r="B20" i="91"/>
  <c r="Z19" i="91"/>
  <c r="V19" i="91"/>
  <c r="T19" i="91"/>
  <c r="P19" i="91"/>
  <c r="X19" i="91" s="1"/>
  <c r="J19" i="91"/>
  <c r="H19" i="91"/>
  <c r="F19" i="91"/>
  <c r="D19" i="91"/>
  <c r="L19" i="91" s="1"/>
  <c r="N19" i="91" s="1"/>
  <c r="B19" i="91"/>
  <c r="X18" i="91"/>
  <c r="T18" i="91" a="1"/>
  <c r="T18" i="91" s="1"/>
  <c r="P18" i="91" a="1"/>
  <c r="P18" i="91"/>
  <c r="L18" i="91"/>
  <c r="N18" i="91" s="1"/>
  <c r="H18" i="91" a="1"/>
  <c r="H18" i="91" s="1"/>
  <c r="F18" i="91"/>
  <c r="D18" i="91" a="1"/>
  <c r="D18" i="91"/>
  <c r="T16" i="91"/>
  <c r="Z16" i="91" s="1"/>
  <c r="J16" i="91"/>
  <c r="H16" i="91"/>
  <c r="D16" i="91"/>
  <c r="D48" i="91" s="1"/>
  <c r="V14" i="91"/>
  <c r="T14" i="91"/>
  <c r="Z14" i="91" s="1"/>
  <c r="P14" i="91"/>
  <c r="X14" i="91" s="1"/>
  <c r="H14" i="91"/>
  <c r="D14" i="91"/>
  <c r="Z12" i="91"/>
  <c r="T12" i="91"/>
  <c r="V55" i="91" s="1"/>
  <c r="P12" i="91"/>
  <c r="L12" i="91"/>
  <c r="H12" i="91"/>
  <c r="J40" i="91" s="1"/>
  <c r="D12" i="91"/>
  <c r="F55" i="91" s="1"/>
  <c r="D6" i="91"/>
  <c r="D4" i="91"/>
  <c r="Z49" i="90"/>
  <c r="X49" i="90"/>
  <c r="N49" i="90"/>
  <c r="L49" i="90"/>
  <c r="F49" i="90"/>
  <c r="T45" i="90"/>
  <c r="Z45" i="90" s="1"/>
  <c r="P45" i="90"/>
  <c r="H45" i="90"/>
  <c r="N45" i="90" s="1"/>
  <c r="D45" i="90"/>
  <c r="L45" i="90" s="1"/>
  <c r="X43" i="90"/>
  <c r="Z43" i="90" s="1"/>
  <c r="N43" i="90"/>
  <c r="L43" i="90"/>
  <c r="F43" i="90"/>
  <c r="B43" i="90"/>
  <c r="T42" i="90"/>
  <c r="P42" i="90"/>
  <c r="X42" i="90" s="1"/>
  <c r="Z42" i="90" s="1"/>
  <c r="N42" i="90"/>
  <c r="H42" i="90"/>
  <c r="D42" i="90"/>
  <c r="L42" i="90" s="1"/>
  <c r="B42" i="90"/>
  <c r="Z41" i="90"/>
  <c r="X41" i="90"/>
  <c r="N41" i="90"/>
  <c r="L41" i="90"/>
  <c r="B41" i="90"/>
  <c r="Z40" i="90"/>
  <c r="T40" i="90"/>
  <c r="P40" i="90"/>
  <c r="X40" i="90" s="1"/>
  <c r="N40" i="90"/>
  <c r="L40" i="90"/>
  <c r="H40" i="90"/>
  <c r="D40" i="90"/>
  <c r="B40" i="90"/>
  <c r="Z39" i="90"/>
  <c r="X39" i="90"/>
  <c r="N39" i="90"/>
  <c r="L39" i="90"/>
  <c r="B39" i="90"/>
  <c r="Z38" i="90"/>
  <c r="X38" i="90"/>
  <c r="T38" i="90"/>
  <c r="P38" i="90"/>
  <c r="H38" i="90"/>
  <c r="F38" i="90"/>
  <c r="D38" i="90"/>
  <c r="B38" i="90"/>
  <c r="X37" i="90"/>
  <c r="Z37" i="90" s="1"/>
  <c r="N37" i="90"/>
  <c r="L37" i="90"/>
  <c r="B37" i="90"/>
  <c r="Z36" i="90"/>
  <c r="X36" i="90"/>
  <c r="N36" i="90"/>
  <c r="L36" i="90"/>
  <c r="B36" i="90"/>
  <c r="V35" i="90"/>
  <c r="T35" i="90"/>
  <c r="P35" i="90"/>
  <c r="L35" i="90"/>
  <c r="H35" i="90"/>
  <c r="N35" i="90" s="1"/>
  <c r="D35" i="90"/>
  <c r="B35" i="90"/>
  <c r="Z34" i="90"/>
  <c r="X34" i="90"/>
  <c r="N34" i="90"/>
  <c r="L34" i="90"/>
  <c r="B34" i="90"/>
  <c r="T33" i="90"/>
  <c r="Z33" i="90" s="1"/>
  <c r="P33" i="90"/>
  <c r="X33" i="90" s="1"/>
  <c r="L33" i="90"/>
  <c r="H33" i="90"/>
  <c r="N33" i="90" s="1"/>
  <c r="D33" i="90"/>
  <c r="B33" i="90"/>
  <c r="Z32" i="90"/>
  <c r="X32" i="90"/>
  <c r="V32" i="90"/>
  <c r="N32" i="90"/>
  <c r="L32" i="90"/>
  <c r="B32" i="90"/>
  <c r="X31" i="90"/>
  <c r="T31" i="90"/>
  <c r="P31" i="90"/>
  <c r="H31" i="90"/>
  <c r="D31" i="90"/>
  <c r="B31" i="90"/>
  <c r="Z30" i="90"/>
  <c r="X30" i="90"/>
  <c r="N30" i="90"/>
  <c r="L30" i="90"/>
  <c r="J30" i="90"/>
  <c r="B30" i="90"/>
  <c r="Z29" i="90"/>
  <c r="T29" i="90"/>
  <c r="P29" i="90"/>
  <c r="X29" i="90" s="1"/>
  <c r="J29" i="90"/>
  <c r="H29" i="90"/>
  <c r="N29" i="90" s="1"/>
  <c r="D29" i="90"/>
  <c r="L29" i="90" s="1"/>
  <c r="B29" i="90"/>
  <c r="Z28" i="90"/>
  <c r="X28" i="90"/>
  <c r="N28" i="90"/>
  <c r="L28" i="90"/>
  <c r="B28" i="90"/>
  <c r="T27" i="90"/>
  <c r="P27" i="90"/>
  <c r="H27" i="90"/>
  <c r="N27" i="90" s="1"/>
  <c r="F27" i="90"/>
  <c r="D27" i="90"/>
  <c r="L27" i="90" s="1"/>
  <c r="B27" i="90"/>
  <c r="Z26" i="90"/>
  <c r="X26" i="90"/>
  <c r="N26" i="90"/>
  <c r="L26" i="90"/>
  <c r="J26" i="90"/>
  <c r="B26" i="90"/>
  <c r="X25" i="90"/>
  <c r="Z25" i="90" s="1"/>
  <c r="N25" i="90"/>
  <c r="L25" i="90"/>
  <c r="B25" i="90"/>
  <c r="Z24" i="90"/>
  <c r="X24" i="90"/>
  <c r="N24" i="90"/>
  <c r="L24" i="90"/>
  <c r="B24" i="90"/>
  <c r="X23" i="90"/>
  <c r="Z23" i="90" s="1"/>
  <c r="N23" i="90"/>
  <c r="L23" i="90"/>
  <c r="B23" i="90"/>
  <c r="Z22" i="90"/>
  <c r="X22" i="90"/>
  <c r="V22" i="90"/>
  <c r="N22" i="90"/>
  <c r="L22" i="90"/>
  <c r="J22" i="90"/>
  <c r="B22" i="90"/>
  <c r="T21" i="90"/>
  <c r="P21" i="90"/>
  <c r="X21" i="90" s="1"/>
  <c r="Z21" i="90" s="1"/>
  <c r="H21" i="90"/>
  <c r="D21" i="90"/>
  <c r="B21" i="90"/>
  <c r="T20" i="90" a="1"/>
  <c r="T20" i="90"/>
  <c r="P20" i="90" a="1"/>
  <c r="P20" i="90" s="1"/>
  <c r="H20" i="90" a="1"/>
  <c r="H20" i="90" s="1"/>
  <c r="D20" i="90" a="1"/>
  <c r="D20" i="90" s="1"/>
  <c r="J18" i="90"/>
  <c r="Z16" i="90"/>
  <c r="X16" i="90"/>
  <c r="N16" i="90"/>
  <c r="L16" i="90"/>
  <c r="J16" i="90"/>
  <c r="B16" i="90"/>
  <c r="T15" i="90"/>
  <c r="P15" i="90"/>
  <c r="N15" i="90"/>
  <c r="H15" i="90"/>
  <c r="D15" i="90"/>
  <c r="L15" i="90" s="1"/>
  <c r="T13" i="90"/>
  <c r="Z13" i="90" s="1"/>
  <c r="P13" i="90"/>
  <c r="L13" i="90"/>
  <c r="H13" i="90"/>
  <c r="N13" i="90" s="1"/>
  <c r="D13" i="90"/>
  <c r="D12" i="90" s="1"/>
  <c r="F35" i="90" s="1"/>
  <c r="B13" i="90"/>
  <c r="T12" i="90"/>
  <c r="N12" i="90"/>
  <c r="H12" i="90"/>
  <c r="D6" i="90"/>
  <c r="D4" i="90"/>
  <c r="J34" i="89"/>
  <c r="Z32" i="89"/>
  <c r="X32" i="89"/>
  <c r="N32" i="89"/>
  <c r="L32" i="89"/>
  <c r="J32" i="89"/>
  <c r="J30" i="89"/>
  <c r="V28" i="89"/>
  <c r="T28" i="89"/>
  <c r="X28" i="89" s="1"/>
  <c r="P28" i="89"/>
  <c r="J28" i="89"/>
  <c r="H28" i="89"/>
  <c r="N28" i="89" s="1"/>
  <c r="D28" i="89"/>
  <c r="L28" i="89" s="1"/>
  <c r="Z26" i="89"/>
  <c r="X26" i="89"/>
  <c r="L26" i="89"/>
  <c r="N26" i="89" s="1"/>
  <c r="F26" i="89"/>
  <c r="B26" i="89"/>
  <c r="T25" i="89"/>
  <c r="R25" i="89"/>
  <c r="P25" i="89"/>
  <c r="X25" i="89" s="1"/>
  <c r="H25" i="89"/>
  <c r="D25" i="89"/>
  <c r="L25" i="89" s="1"/>
  <c r="N25" i="89" s="1"/>
  <c r="B25" i="89"/>
  <c r="X24" i="89"/>
  <c r="Z24" i="89" s="1"/>
  <c r="N24" i="89"/>
  <c r="L24" i="89"/>
  <c r="J24" i="89"/>
  <c r="B24" i="89"/>
  <c r="T23" i="89"/>
  <c r="P23" i="89"/>
  <c r="X23" i="89" s="1"/>
  <c r="Z23" i="89" s="1"/>
  <c r="N23" i="89"/>
  <c r="J23" i="89"/>
  <c r="H23" i="89"/>
  <c r="L23" i="89" s="1"/>
  <c r="D23" i="89"/>
  <c r="B23" i="89"/>
  <c r="X22" i="89"/>
  <c r="Z22" i="89" s="1"/>
  <c r="R22" i="89"/>
  <c r="N22" i="89"/>
  <c r="L22" i="89"/>
  <c r="B22" i="89"/>
  <c r="V21" i="89"/>
  <c r="T21" i="89"/>
  <c r="X21" i="89" s="1"/>
  <c r="Z21" i="89" s="1"/>
  <c r="P21" i="89"/>
  <c r="L21" i="89"/>
  <c r="J21" i="89"/>
  <c r="H21" i="89"/>
  <c r="N21" i="89" s="1"/>
  <c r="F21" i="89"/>
  <c r="D21" i="89"/>
  <c r="B21" i="89"/>
  <c r="X20" i="89"/>
  <c r="Z20" i="89" s="1"/>
  <c r="V20" i="89"/>
  <c r="R20" i="89"/>
  <c r="L20" i="89"/>
  <c r="N20" i="89" s="1"/>
  <c r="B20" i="89"/>
  <c r="X19" i="89"/>
  <c r="V19" i="89"/>
  <c r="T19" i="89"/>
  <c r="R19" i="89"/>
  <c r="P19" i="89"/>
  <c r="H19" i="89"/>
  <c r="D19" i="89"/>
  <c r="B19" i="89"/>
  <c r="T18" i="89" a="1"/>
  <c r="T18" i="89"/>
  <c r="R18" i="89"/>
  <c r="P18" i="89" a="1"/>
  <c r="P18" i="89"/>
  <c r="X18" i="89" s="1"/>
  <c r="H18" i="89" a="1"/>
  <c r="H18" i="89"/>
  <c r="F18" i="89"/>
  <c r="D18" i="89" a="1"/>
  <c r="D18" i="89"/>
  <c r="R16" i="89"/>
  <c r="P16" i="89"/>
  <c r="X14" i="89"/>
  <c r="V14" i="89"/>
  <c r="T14" i="89"/>
  <c r="T16" i="89" s="1"/>
  <c r="P14" i="89"/>
  <c r="J14" i="89"/>
  <c r="H14" i="89"/>
  <c r="N14" i="89" s="1"/>
  <c r="D14" i="89"/>
  <c r="T12" i="89"/>
  <c r="V30" i="89" s="1"/>
  <c r="P12" i="89"/>
  <c r="R32" i="89" s="1"/>
  <c r="N12" i="89"/>
  <c r="H12" i="89"/>
  <c r="J20" i="89" s="1"/>
  <c r="D12" i="89"/>
  <c r="F37" i="89" s="1"/>
  <c r="D6" i="89"/>
  <c r="D4" i="89"/>
  <c r="V39" i="88"/>
  <c r="Z34" i="88"/>
  <c r="X34" i="88"/>
  <c r="V34" i="88"/>
  <c r="R34" i="88"/>
  <c r="N34" i="88"/>
  <c r="L34" i="88"/>
  <c r="V32" i="88"/>
  <c r="Z30" i="88"/>
  <c r="X30" i="88"/>
  <c r="T30" i="88"/>
  <c r="P30" i="88"/>
  <c r="P29" i="88" s="1"/>
  <c r="X29" i="88" s="1"/>
  <c r="L30" i="88"/>
  <c r="H30" i="88"/>
  <c r="D30" i="88"/>
  <c r="B30" i="88"/>
  <c r="V29" i="88"/>
  <c r="T29" i="88"/>
  <c r="Z29" i="88" s="1"/>
  <c r="R29" i="88"/>
  <c r="F29" i="88"/>
  <c r="D29" i="88"/>
  <c r="Z27" i="88"/>
  <c r="X27" i="88"/>
  <c r="L27" i="88"/>
  <c r="N27" i="88" s="1"/>
  <c r="J27" i="88"/>
  <c r="B27" i="88"/>
  <c r="T26" i="88"/>
  <c r="Z26" i="88" s="1"/>
  <c r="R26" i="88"/>
  <c r="P26" i="88"/>
  <c r="X26" i="88" s="1"/>
  <c r="L26" i="88"/>
  <c r="J26" i="88"/>
  <c r="H26" i="88"/>
  <c r="N26" i="88" s="1"/>
  <c r="D26" i="88"/>
  <c r="B26" i="88"/>
  <c r="Z25" i="88"/>
  <c r="X25" i="88"/>
  <c r="V25" i="88"/>
  <c r="R25" i="88"/>
  <c r="N25" i="88"/>
  <c r="L25" i="88"/>
  <c r="B25" i="88"/>
  <c r="X24" i="88"/>
  <c r="V24" i="88"/>
  <c r="T24" i="88"/>
  <c r="P24" i="88"/>
  <c r="H24" i="88"/>
  <c r="D24" i="88"/>
  <c r="B24" i="88"/>
  <c r="Z23" i="88"/>
  <c r="X23" i="88"/>
  <c r="V23" i="88"/>
  <c r="N23" i="88"/>
  <c r="L23" i="88"/>
  <c r="B23" i="88"/>
  <c r="Z22" i="88"/>
  <c r="X22" i="88"/>
  <c r="T22" i="88"/>
  <c r="R22" i="88"/>
  <c r="P22" i="88"/>
  <c r="J22" i="88"/>
  <c r="H22" i="88"/>
  <c r="N22" i="88" s="1"/>
  <c r="D22" i="88"/>
  <c r="B22" i="88"/>
  <c r="Z21" i="88"/>
  <c r="X21" i="88"/>
  <c r="R21" i="88"/>
  <c r="N21" i="88"/>
  <c r="L21" i="88"/>
  <c r="J21" i="88"/>
  <c r="B21" i="88"/>
  <c r="X20" i="88"/>
  <c r="Z20" i="88" s="1"/>
  <c r="V20" i="88"/>
  <c r="R20" i="88"/>
  <c r="N20" i="88"/>
  <c r="L20" i="88"/>
  <c r="J20" i="88"/>
  <c r="B20" i="88"/>
  <c r="X19" i="88"/>
  <c r="Z19" i="88" s="1"/>
  <c r="V19" i="88"/>
  <c r="T19" i="88"/>
  <c r="R19" i="88"/>
  <c r="P19" i="88"/>
  <c r="H19" i="88"/>
  <c r="D19" i="88"/>
  <c r="B19" i="88"/>
  <c r="Z18" i="88"/>
  <c r="T18" i="88" a="1"/>
  <c r="T18" i="88"/>
  <c r="R18" i="88"/>
  <c r="P18" i="88" a="1"/>
  <c r="P18" i="88"/>
  <c r="X18" i="88" s="1"/>
  <c r="H18" i="88" a="1"/>
  <c r="H18" i="88"/>
  <c r="D18" i="88" a="1"/>
  <c r="D18" i="88"/>
  <c r="R16" i="88"/>
  <c r="P16" i="88"/>
  <c r="J16" i="88"/>
  <c r="V14" i="88"/>
  <c r="T14" i="88"/>
  <c r="R14" i="88"/>
  <c r="P14" i="88"/>
  <c r="J14" i="88"/>
  <c r="H14" i="88"/>
  <c r="N14" i="88" s="1"/>
  <c r="D14" i="88"/>
  <c r="Z12" i="88"/>
  <c r="T12" i="88"/>
  <c r="V36" i="88" s="1"/>
  <c r="P12" i="88"/>
  <c r="X12" i="88" s="1"/>
  <c r="N12" i="88"/>
  <c r="H12" i="88"/>
  <c r="J34" i="88" s="1"/>
  <c r="D12" i="88"/>
  <c r="D6" i="88"/>
  <c r="D4" i="88"/>
  <c r="X27" i="87"/>
  <c r="Z27" i="87" s="1"/>
  <c r="N27" i="87"/>
  <c r="L27" i="87"/>
  <c r="Z23" i="87"/>
  <c r="T23" i="87"/>
  <c r="P23" i="87"/>
  <c r="X23" i="87" s="1"/>
  <c r="H23" i="87"/>
  <c r="D23" i="87"/>
  <c r="X21" i="87"/>
  <c r="Z21" i="87" s="1"/>
  <c r="V21" i="87"/>
  <c r="N21" i="87"/>
  <c r="L21" i="87"/>
  <c r="J21" i="87"/>
  <c r="B21" i="87"/>
  <c r="X20" i="87"/>
  <c r="Z20" i="87" s="1"/>
  <c r="T20" i="87"/>
  <c r="P20" i="87"/>
  <c r="H20" i="87"/>
  <c r="N20" i="87" s="1"/>
  <c r="F20" i="87"/>
  <c r="D20" i="87"/>
  <c r="L20" i="87" s="1"/>
  <c r="B20" i="87"/>
  <c r="T19" i="87"/>
  <c r="P19" i="87"/>
  <c r="X19" i="87" s="1"/>
  <c r="Z19" i="87" s="1"/>
  <c r="L19" i="87"/>
  <c r="J19" i="87"/>
  <c r="H19" i="87"/>
  <c r="N19" i="87" s="1"/>
  <c r="D19" i="87"/>
  <c r="T17" i="87"/>
  <c r="H17" i="87"/>
  <c r="D17" i="87"/>
  <c r="Z15" i="87"/>
  <c r="T15" i="87"/>
  <c r="P15" i="87"/>
  <c r="X15" i="87" s="1"/>
  <c r="L15" i="87"/>
  <c r="J15" i="87"/>
  <c r="H15" i="87"/>
  <c r="N15" i="87" s="1"/>
  <c r="D15" i="87"/>
  <c r="T13" i="87"/>
  <c r="P13" i="87"/>
  <c r="H13" i="87"/>
  <c r="D13" i="87"/>
  <c r="L13" i="87" s="1"/>
  <c r="N13" i="87" s="1"/>
  <c r="B13" i="87"/>
  <c r="T12" i="87"/>
  <c r="H12" i="87"/>
  <c r="D12" i="87"/>
  <c r="F29" i="87" s="1"/>
  <c r="D6" i="87"/>
  <c r="D4" i="87"/>
  <c r="J75" i="86"/>
  <c r="V72" i="86"/>
  <c r="Z70" i="86"/>
  <c r="X70" i="86"/>
  <c r="N70" i="86"/>
  <c r="L70" i="86"/>
  <c r="J70" i="86"/>
  <c r="X66" i="86"/>
  <c r="Z66" i="86" s="1"/>
  <c r="V66" i="86"/>
  <c r="T66" i="86"/>
  <c r="P66" i="86"/>
  <c r="H66" i="86"/>
  <c r="D66" i="86"/>
  <c r="B66" i="86"/>
  <c r="Z65" i="86"/>
  <c r="T65" i="86"/>
  <c r="P65" i="86"/>
  <c r="X65" i="86" s="1"/>
  <c r="D65" i="86"/>
  <c r="Z63" i="86"/>
  <c r="X63" i="86"/>
  <c r="N63" i="86"/>
  <c r="L63" i="86"/>
  <c r="B63" i="86"/>
  <c r="V62" i="86"/>
  <c r="T62" i="86"/>
  <c r="X62" i="86" s="1"/>
  <c r="P62" i="86"/>
  <c r="N62" i="86"/>
  <c r="L62" i="86"/>
  <c r="J62" i="86"/>
  <c r="H62" i="86"/>
  <c r="D62" i="86"/>
  <c r="B62" i="86"/>
  <c r="X61" i="86"/>
  <c r="Z61" i="86" s="1"/>
  <c r="V61" i="86"/>
  <c r="N61" i="86"/>
  <c r="L61" i="86"/>
  <c r="B61" i="86"/>
  <c r="V60" i="86"/>
  <c r="T60" i="86"/>
  <c r="P60" i="86"/>
  <c r="X60" i="86" s="1"/>
  <c r="Z60" i="86" s="1"/>
  <c r="H60" i="86"/>
  <c r="N60" i="86" s="1"/>
  <c r="D60" i="86"/>
  <c r="B60" i="86"/>
  <c r="Z59" i="86"/>
  <c r="X59" i="86"/>
  <c r="N59" i="86"/>
  <c r="L59" i="86"/>
  <c r="F59" i="86"/>
  <c r="B59" i="86"/>
  <c r="Z58" i="86"/>
  <c r="X58" i="86"/>
  <c r="N58" i="86"/>
  <c r="L58" i="86"/>
  <c r="J58" i="86"/>
  <c r="F58" i="86"/>
  <c r="B58" i="86"/>
  <c r="Z57" i="86"/>
  <c r="X57" i="86"/>
  <c r="V57" i="86"/>
  <c r="R57" i="86"/>
  <c r="N57" i="86"/>
  <c r="L57" i="86"/>
  <c r="J57" i="86"/>
  <c r="B57" i="86"/>
  <c r="Z56" i="86"/>
  <c r="X56" i="86"/>
  <c r="V56" i="86"/>
  <c r="N56" i="86"/>
  <c r="L56" i="86"/>
  <c r="B56" i="86"/>
  <c r="Z55" i="86"/>
  <c r="X55" i="86"/>
  <c r="N55" i="86"/>
  <c r="L55" i="86"/>
  <c r="B55" i="86"/>
  <c r="V54" i="86"/>
  <c r="T54" i="86"/>
  <c r="Z54" i="86" s="1"/>
  <c r="P54" i="86"/>
  <c r="N54" i="86"/>
  <c r="J54" i="86"/>
  <c r="H54" i="86"/>
  <c r="D54" i="86"/>
  <c r="L54" i="86" s="1"/>
  <c r="B54" i="86"/>
  <c r="Z53" i="86"/>
  <c r="X53" i="86"/>
  <c r="V53" i="86"/>
  <c r="N53" i="86"/>
  <c r="L53" i="86"/>
  <c r="J53" i="86"/>
  <c r="B53" i="86"/>
  <c r="Z52" i="86"/>
  <c r="V52" i="86"/>
  <c r="T52" i="86"/>
  <c r="P52" i="86"/>
  <c r="X52" i="86" s="1"/>
  <c r="H52" i="86"/>
  <c r="N52" i="86" s="1"/>
  <c r="F52" i="86"/>
  <c r="D52" i="86"/>
  <c r="B52" i="86"/>
  <c r="Z51" i="86"/>
  <c r="X51" i="86"/>
  <c r="N51" i="86"/>
  <c r="L51" i="86"/>
  <c r="B51" i="86"/>
  <c r="T50" i="86"/>
  <c r="Z50" i="86" s="1"/>
  <c r="P50" i="86"/>
  <c r="X50" i="86" s="1"/>
  <c r="N50" i="86"/>
  <c r="L50" i="86"/>
  <c r="H50" i="86"/>
  <c r="D50" i="86"/>
  <c r="B50" i="86"/>
  <c r="Z49" i="86"/>
  <c r="X49" i="86"/>
  <c r="V49" i="86"/>
  <c r="N49" i="86"/>
  <c r="L49" i="86"/>
  <c r="B49" i="86"/>
  <c r="Z48" i="86"/>
  <c r="X48" i="86"/>
  <c r="N48" i="86"/>
  <c r="L48" i="86"/>
  <c r="J48" i="86"/>
  <c r="B48" i="86"/>
  <c r="Z47" i="86"/>
  <c r="T47" i="86"/>
  <c r="P47" i="86"/>
  <c r="X47" i="86" s="1"/>
  <c r="L47" i="86"/>
  <c r="J47" i="86"/>
  <c r="H47" i="86"/>
  <c r="N47" i="86" s="1"/>
  <c r="D47" i="86"/>
  <c r="B47" i="86"/>
  <c r="Z46" i="86"/>
  <c r="X46" i="86"/>
  <c r="V46" i="86"/>
  <c r="N46" i="86"/>
  <c r="L46" i="86"/>
  <c r="B46" i="86"/>
  <c r="X45" i="86"/>
  <c r="V45" i="86"/>
  <c r="T45" i="86"/>
  <c r="P45" i="86"/>
  <c r="L45" i="86"/>
  <c r="N45" i="86" s="1"/>
  <c r="H45" i="86"/>
  <c r="D45" i="86"/>
  <c r="B45" i="86"/>
  <c r="X44" i="86"/>
  <c r="Z44" i="86" s="1"/>
  <c r="V44" i="86"/>
  <c r="N44" i="86"/>
  <c r="L44" i="86"/>
  <c r="B44" i="86"/>
  <c r="X43" i="86"/>
  <c r="Z43" i="86" s="1"/>
  <c r="T43" i="86"/>
  <c r="P43" i="86"/>
  <c r="J43" i="86"/>
  <c r="H43" i="86"/>
  <c r="N43" i="86" s="1"/>
  <c r="D43" i="86"/>
  <c r="B43" i="86"/>
  <c r="Z42" i="86"/>
  <c r="X42" i="86"/>
  <c r="N42" i="86"/>
  <c r="L42" i="86"/>
  <c r="J42" i="86"/>
  <c r="B42" i="86"/>
  <c r="V41" i="86"/>
  <c r="T41" i="86"/>
  <c r="Z41" i="86" s="1"/>
  <c r="P41" i="86"/>
  <c r="N41" i="86"/>
  <c r="H41" i="86"/>
  <c r="F41" i="86"/>
  <c r="D41" i="86"/>
  <c r="L41" i="86" s="1"/>
  <c r="B41" i="86"/>
  <c r="Z40" i="86"/>
  <c r="X40" i="86"/>
  <c r="L40" i="86"/>
  <c r="N40" i="86" s="1"/>
  <c r="J40" i="86"/>
  <c r="B40" i="86"/>
  <c r="Z39" i="86"/>
  <c r="X39" i="86"/>
  <c r="L39" i="86"/>
  <c r="N39" i="86" s="1"/>
  <c r="B39" i="86"/>
  <c r="T38" i="86"/>
  <c r="P38" i="86"/>
  <c r="X38" i="86" s="1"/>
  <c r="L38" i="86"/>
  <c r="N38" i="86" s="1"/>
  <c r="H38" i="86"/>
  <c r="D38" i="86"/>
  <c r="B38" i="86"/>
  <c r="Z37" i="86"/>
  <c r="X37" i="86"/>
  <c r="V37" i="86"/>
  <c r="N37" i="86"/>
  <c r="L37" i="86"/>
  <c r="J37" i="86"/>
  <c r="B37" i="86"/>
  <c r="Z36" i="86"/>
  <c r="X36" i="86"/>
  <c r="T36" i="86"/>
  <c r="P36" i="86"/>
  <c r="N36" i="86"/>
  <c r="J36" i="86"/>
  <c r="H36" i="86"/>
  <c r="L36" i="86" s="1"/>
  <c r="D36" i="86"/>
  <c r="B36" i="86"/>
  <c r="Z35" i="86"/>
  <c r="X35" i="86"/>
  <c r="N35" i="86"/>
  <c r="L35" i="86"/>
  <c r="B35" i="86"/>
  <c r="V34" i="86"/>
  <c r="T34" i="86"/>
  <c r="Z34" i="86" s="1"/>
  <c r="P34" i="86"/>
  <c r="N34" i="86"/>
  <c r="L34" i="86"/>
  <c r="J34" i="86"/>
  <c r="H34" i="86"/>
  <c r="D34" i="86"/>
  <c r="B34" i="86"/>
  <c r="Z33" i="86"/>
  <c r="X33" i="86"/>
  <c r="V33" i="86"/>
  <c r="N33" i="86"/>
  <c r="L33" i="86"/>
  <c r="J33" i="86"/>
  <c r="B33" i="86"/>
  <c r="Z32" i="86"/>
  <c r="X32" i="86"/>
  <c r="V32" i="86"/>
  <c r="N32" i="86"/>
  <c r="L32" i="86"/>
  <c r="B32" i="86"/>
  <c r="Z31" i="86"/>
  <c r="X31" i="86"/>
  <c r="N31" i="86"/>
  <c r="L31" i="86"/>
  <c r="B31" i="86"/>
  <c r="Z30" i="86"/>
  <c r="X30" i="86"/>
  <c r="V30" i="86"/>
  <c r="N30" i="86"/>
  <c r="L30" i="86"/>
  <c r="B30" i="86"/>
  <c r="X29" i="86"/>
  <c r="V29" i="86"/>
  <c r="T29" i="86"/>
  <c r="Z29" i="86" s="1"/>
  <c r="P29" i="86"/>
  <c r="N29" i="86"/>
  <c r="H29" i="86"/>
  <c r="L29" i="86" s="1"/>
  <c r="F29" i="86"/>
  <c r="D29" i="86"/>
  <c r="B29" i="86"/>
  <c r="Z28" i="86"/>
  <c r="X28" i="86"/>
  <c r="V28" i="86"/>
  <c r="N28" i="86"/>
  <c r="L28" i="86"/>
  <c r="B28" i="86"/>
  <c r="Z27" i="86"/>
  <c r="X27" i="86"/>
  <c r="N27" i="86"/>
  <c r="L27" i="86"/>
  <c r="B27" i="86"/>
  <c r="Z26" i="86"/>
  <c r="X26" i="86"/>
  <c r="V26" i="86"/>
  <c r="N26" i="86"/>
  <c r="L26" i="86"/>
  <c r="F26" i="86"/>
  <c r="B26" i="86"/>
  <c r="X25" i="86"/>
  <c r="Z25" i="86" s="1"/>
  <c r="V25" i="86"/>
  <c r="N25" i="86"/>
  <c r="L25" i="86"/>
  <c r="J25" i="86"/>
  <c r="F25" i="86"/>
  <c r="B25" i="86"/>
  <c r="Z24" i="86"/>
  <c r="X24" i="86"/>
  <c r="N24" i="86"/>
  <c r="L24" i="86"/>
  <c r="B24" i="86"/>
  <c r="Z23" i="86"/>
  <c r="X23" i="86"/>
  <c r="N23" i="86"/>
  <c r="L23" i="86"/>
  <c r="F23" i="86"/>
  <c r="B23" i="86"/>
  <c r="Z22" i="86"/>
  <c r="X22" i="86"/>
  <c r="N22" i="86"/>
  <c r="L22" i="86"/>
  <c r="J22" i="86"/>
  <c r="F22" i="86"/>
  <c r="B22" i="86"/>
  <c r="X21" i="86"/>
  <c r="Z21" i="86" s="1"/>
  <c r="V21" i="86"/>
  <c r="N21" i="86"/>
  <c r="L21" i="86"/>
  <c r="J21" i="86"/>
  <c r="B21" i="86"/>
  <c r="V20" i="86"/>
  <c r="T20" i="86"/>
  <c r="P20" i="86"/>
  <c r="X20" i="86" s="1"/>
  <c r="Z20" i="86" s="1"/>
  <c r="H20" i="86"/>
  <c r="N20" i="86" s="1"/>
  <c r="D20" i="86"/>
  <c r="L20" i="86" s="1"/>
  <c r="B20" i="86"/>
  <c r="T19" i="86" a="1"/>
  <c r="T19" i="86"/>
  <c r="R19" i="86"/>
  <c r="P19" i="86" a="1"/>
  <c r="P19" i="86"/>
  <c r="H19" i="86" a="1"/>
  <c r="H19" i="86"/>
  <c r="D19" i="86" a="1"/>
  <c r="D19" i="86"/>
  <c r="L19" i="86" s="1"/>
  <c r="N19" i="86" s="1"/>
  <c r="Z15" i="86"/>
  <c r="X15" i="86"/>
  <c r="N15" i="86"/>
  <c r="L15" i="86"/>
  <c r="B15" i="86"/>
  <c r="V14" i="86"/>
  <c r="T14" i="86"/>
  <c r="X14" i="86" s="1"/>
  <c r="P14" i="86"/>
  <c r="N14" i="86"/>
  <c r="L14" i="86"/>
  <c r="J14" i="86"/>
  <c r="H14" i="86"/>
  <c r="D14" i="86"/>
  <c r="T12" i="86"/>
  <c r="V75" i="86" s="1"/>
  <c r="P12" i="86"/>
  <c r="P17" i="86" s="1"/>
  <c r="N12" i="86"/>
  <c r="H12" i="86"/>
  <c r="D12" i="86"/>
  <c r="D6" i="86"/>
  <c r="D4" i="86"/>
  <c r="J88" i="85"/>
  <c r="X86" i="85"/>
  <c r="Z86" i="85" s="1"/>
  <c r="N86" i="85"/>
  <c r="L86" i="85"/>
  <c r="Z82" i="85"/>
  <c r="T82" i="85"/>
  <c r="P82" i="85"/>
  <c r="P81" i="85" s="1"/>
  <c r="X81" i="85" s="1"/>
  <c r="N82" i="85"/>
  <c r="J82" i="85"/>
  <c r="H82" i="85"/>
  <c r="L82" i="85" s="1"/>
  <c r="D82" i="85"/>
  <c r="B82" i="85"/>
  <c r="T81" i="85"/>
  <c r="Z81" i="85" s="1"/>
  <c r="J81" i="85"/>
  <c r="H81" i="85"/>
  <c r="N81" i="85" s="1"/>
  <c r="D81" i="85"/>
  <c r="L81" i="85" s="1"/>
  <c r="Z79" i="85"/>
  <c r="X79" i="85"/>
  <c r="L79" i="85"/>
  <c r="N79" i="85" s="1"/>
  <c r="F79" i="85"/>
  <c r="B79" i="85"/>
  <c r="T78" i="85"/>
  <c r="P78" i="85"/>
  <c r="X78" i="85" s="1"/>
  <c r="H78" i="85"/>
  <c r="D78" i="85"/>
  <c r="L78" i="85" s="1"/>
  <c r="N78" i="85" s="1"/>
  <c r="B78" i="85"/>
  <c r="X77" i="85"/>
  <c r="Z77" i="85" s="1"/>
  <c r="N77" i="85"/>
  <c r="L77" i="85"/>
  <c r="J77" i="85"/>
  <c r="B77" i="85"/>
  <c r="T76" i="85"/>
  <c r="P76" i="85"/>
  <c r="X76" i="85" s="1"/>
  <c r="Z76" i="85" s="1"/>
  <c r="J76" i="85"/>
  <c r="H76" i="85"/>
  <c r="L76" i="85" s="1"/>
  <c r="D76" i="85"/>
  <c r="B76" i="85"/>
  <c r="X75" i="85"/>
  <c r="Z75" i="85" s="1"/>
  <c r="N75" i="85"/>
  <c r="L75" i="85"/>
  <c r="B75" i="85"/>
  <c r="Z74" i="85"/>
  <c r="V74" i="85"/>
  <c r="T74" i="85"/>
  <c r="X74" i="85" s="1"/>
  <c r="P74" i="85"/>
  <c r="J74" i="85"/>
  <c r="H74" i="85"/>
  <c r="D74" i="85"/>
  <c r="L74" i="85" s="1"/>
  <c r="N74" i="85" s="1"/>
  <c r="B74" i="85"/>
  <c r="X73" i="85"/>
  <c r="Z73" i="85" s="1"/>
  <c r="N73" i="85"/>
  <c r="L73" i="85"/>
  <c r="J73" i="85"/>
  <c r="B73" i="85"/>
  <c r="X72" i="85"/>
  <c r="Z72" i="85" s="1"/>
  <c r="L72" i="85"/>
  <c r="N72" i="85" s="1"/>
  <c r="B72" i="85"/>
  <c r="X71" i="85"/>
  <c r="Z71" i="85" s="1"/>
  <c r="N71" i="85"/>
  <c r="L71" i="85"/>
  <c r="B71" i="85"/>
  <c r="Z70" i="85"/>
  <c r="X70" i="85"/>
  <c r="N70" i="85"/>
  <c r="L70" i="85"/>
  <c r="B70" i="85"/>
  <c r="X69" i="85"/>
  <c r="Z69" i="85" s="1"/>
  <c r="N69" i="85"/>
  <c r="L69" i="85"/>
  <c r="J69" i="85"/>
  <c r="F69" i="85"/>
  <c r="B69" i="85"/>
  <c r="X68" i="85"/>
  <c r="Z68" i="85" s="1"/>
  <c r="N68" i="85"/>
  <c r="L68" i="85"/>
  <c r="J68" i="85"/>
  <c r="B68" i="85"/>
  <c r="T67" i="85"/>
  <c r="P67" i="85"/>
  <c r="X67" i="85" s="1"/>
  <c r="Z67" i="85" s="1"/>
  <c r="L67" i="85"/>
  <c r="N67" i="85" s="1"/>
  <c r="J67" i="85"/>
  <c r="H67" i="85"/>
  <c r="D67" i="85"/>
  <c r="B67" i="85"/>
  <c r="Z66" i="85"/>
  <c r="X66" i="85"/>
  <c r="V66" i="85"/>
  <c r="N66" i="85"/>
  <c r="L66" i="85"/>
  <c r="F66" i="85"/>
  <c r="B66" i="85"/>
  <c r="X65" i="85"/>
  <c r="Z65" i="85" s="1"/>
  <c r="V65" i="85"/>
  <c r="T65" i="85"/>
  <c r="P65" i="85"/>
  <c r="H65" i="85"/>
  <c r="F65" i="85"/>
  <c r="D65" i="85"/>
  <c r="B65" i="85"/>
  <c r="X64" i="85"/>
  <c r="Z64" i="85" s="1"/>
  <c r="L64" i="85"/>
  <c r="N64" i="85" s="1"/>
  <c r="B64" i="85"/>
  <c r="Z63" i="85"/>
  <c r="X63" i="85"/>
  <c r="N63" i="85"/>
  <c r="L63" i="85"/>
  <c r="B63" i="85"/>
  <c r="Z62" i="85"/>
  <c r="X62" i="85"/>
  <c r="V62" i="85"/>
  <c r="N62" i="85"/>
  <c r="L62" i="85"/>
  <c r="B62" i="85"/>
  <c r="X61" i="85"/>
  <c r="Z61" i="85" s="1"/>
  <c r="V61" i="85"/>
  <c r="N61" i="85"/>
  <c r="L61" i="85"/>
  <c r="J61" i="85"/>
  <c r="F61" i="85"/>
  <c r="B61" i="85"/>
  <c r="T60" i="85"/>
  <c r="P60" i="85"/>
  <c r="X60" i="85" s="1"/>
  <c r="Z60" i="85" s="1"/>
  <c r="J60" i="85"/>
  <c r="H60" i="85"/>
  <c r="D60" i="85"/>
  <c r="B60" i="85"/>
  <c r="X59" i="85"/>
  <c r="Z59" i="85" s="1"/>
  <c r="N59" i="85"/>
  <c r="L59" i="85"/>
  <c r="B59" i="85"/>
  <c r="Z58" i="85"/>
  <c r="X58" i="85"/>
  <c r="N58" i="85"/>
  <c r="L58" i="85"/>
  <c r="B58" i="85"/>
  <c r="X57" i="85"/>
  <c r="Z57" i="85" s="1"/>
  <c r="T57" i="85"/>
  <c r="P57" i="85"/>
  <c r="H57" i="85"/>
  <c r="L57" i="85" s="1"/>
  <c r="N57" i="85" s="1"/>
  <c r="F57" i="85"/>
  <c r="D57" i="85"/>
  <c r="B57" i="85"/>
  <c r="X56" i="85"/>
  <c r="Z56" i="85" s="1"/>
  <c r="V56" i="85"/>
  <c r="N56" i="85"/>
  <c r="L56" i="85"/>
  <c r="B56" i="85"/>
  <c r="Z55" i="85"/>
  <c r="X55" i="85"/>
  <c r="T55" i="85"/>
  <c r="P55" i="85"/>
  <c r="J55" i="85"/>
  <c r="H55" i="85"/>
  <c r="D55" i="85"/>
  <c r="L55" i="85" s="1"/>
  <c r="B55" i="85"/>
  <c r="Z54" i="85"/>
  <c r="X54" i="85"/>
  <c r="N54" i="85"/>
  <c r="L54" i="85"/>
  <c r="J54" i="85"/>
  <c r="F54" i="85"/>
  <c r="B54" i="85"/>
  <c r="T53" i="85"/>
  <c r="P53" i="85"/>
  <c r="X53" i="85" s="1"/>
  <c r="N53" i="85"/>
  <c r="H53" i="85"/>
  <c r="D53" i="85"/>
  <c r="L53" i="85" s="1"/>
  <c r="B53" i="85"/>
  <c r="Z52" i="85"/>
  <c r="X52" i="85"/>
  <c r="L52" i="85"/>
  <c r="N52" i="85" s="1"/>
  <c r="J52" i="85"/>
  <c r="B52" i="85"/>
  <c r="T51" i="85"/>
  <c r="P51" i="85"/>
  <c r="X51" i="85" s="1"/>
  <c r="Z51" i="85" s="1"/>
  <c r="L51" i="85"/>
  <c r="J51" i="85"/>
  <c r="H51" i="85"/>
  <c r="N51" i="85" s="1"/>
  <c r="D51" i="85"/>
  <c r="B51" i="85"/>
  <c r="Z50" i="85"/>
  <c r="X50" i="85"/>
  <c r="N50" i="85"/>
  <c r="L50" i="85"/>
  <c r="F50" i="85"/>
  <c r="B50" i="85"/>
  <c r="X49" i="85"/>
  <c r="V49" i="85"/>
  <c r="T49" i="85"/>
  <c r="P49" i="85"/>
  <c r="L49" i="85"/>
  <c r="H49" i="85"/>
  <c r="D49" i="85"/>
  <c r="B49" i="85"/>
  <c r="X48" i="85"/>
  <c r="Z48" i="85" s="1"/>
  <c r="N48" i="85"/>
  <c r="L48" i="85"/>
  <c r="B48" i="85"/>
  <c r="T47" i="85"/>
  <c r="P47" i="85"/>
  <c r="J47" i="85"/>
  <c r="H47" i="85"/>
  <c r="N47" i="85" s="1"/>
  <c r="D47" i="85"/>
  <c r="B47" i="85"/>
  <c r="Z46" i="85"/>
  <c r="X46" i="85"/>
  <c r="N46" i="85"/>
  <c r="L46" i="85"/>
  <c r="J46" i="85"/>
  <c r="F46" i="85"/>
  <c r="B46" i="85"/>
  <c r="X45" i="85"/>
  <c r="Z45" i="85" s="1"/>
  <c r="V45" i="85"/>
  <c r="L45" i="85"/>
  <c r="N45" i="85" s="1"/>
  <c r="J45" i="85"/>
  <c r="B45" i="85"/>
  <c r="X44" i="85"/>
  <c r="Z44" i="85" s="1"/>
  <c r="T44" i="85"/>
  <c r="P44" i="85"/>
  <c r="H44" i="85"/>
  <c r="D44" i="85"/>
  <c r="L44" i="85" s="1"/>
  <c r="B44" i="85"/>
  <c r="Z43" i="85"/>
  <c r="X43" i="85"/>
  <c r="N43" i="85"/>
  <c r="L43" i="85"/>
  <c r="B43" i="85"/>
  <c r="T42" i="85"/>
  <c r="P42" i="85"/>
  <c r="L42" i="85"/>
  <c r="N42" i="85" s="1"/>
  <c r="H42" i="85"/>
  <c r="D42" i="85"/>
  <c r="B42" i="85"/>
  <c r="X41" i="85"/>
  <c r="Z41" i="85" s="1"/>
  <c r="V41" i="85"/>
  <c r="N41" i="85"/>
  <c r="L41" i="85"/>
  <c r="J41" i="85"/>
  <c r="B41" i="85"/>
  <c r="X40" i="85"/>
  <c r="Z40" i="85" s="1"/>
  <c r="T40" i="85"/>
  <c r="P40" i="85"/>
  <c r="N40" i="85"/>
  <c r="J40" i="85"/>
  <c r="H40" i="85"/>
  <c r="L40" i="85" s="1"/>
  <c r="D40" i="85"/>
  <c r="B40" i="85"/>
  <c r="Z39" i="85"/>
  <c r="X39" i="85"/>
  <c r="N39" i="85"/>
  <c r="L39" i="85"/>
  <c r="B39" i="85"/>
  <c r="T38" i="85"/>
  <c r="P38" i="85"/>
  <c r="L38" i="85"/>
  <c r="N38" i="85" s="1"/>
  <c r="J38" i="85"/>
  <c r="H38" i="85"/>
  <c r="D38" i="85"/>
  <c r="B38" i="85"/>
  <c r="Z37" i="85"/>
  <c r="X37" i="85"/>
  <c r="N37" i="85"/>
  <c r="L37" i="85"/>
  <c r="J37" i="85"/>
  <c r="B37" i="85"/>
  <c r="X36" i="85"/>
  <c r="Z36" i="85" s="1"/>
  <c r="V36" i="85"/>
  <c r="L36" i="85"/>
  <c r="N36" i="85" s="1"/>
  <c r="B36" i="85"/>
  <c r="Z35" i="85"/>
  <c r="X35" i="85"/>
  <c r="N35" i="85"/>
  <c r="L35" i="85"/>
  <c r="B35" i="85"/>
  <c r="Z34" i="85"/>
  <c r="X34" i="85"/>
  <c r="N34" i="85"/>
  <c r="L34" i="85"/>
  <c r="F34" i="85"/>
  <c r="B34" i="85"/>
  <c r="X33" i="85"/>
  <c r="Z33" i="85" s="1"/>
  <c r="V33" i="85"/>
  <c r="L33" i="85"/>
  <c r="N33" i="85" s="1"/>
  <c r="J33" i="85"/>
  <c r="B33" i="85"/>
  <c r="T32" i="85"/>
  <c r="P32" i="85"/>
  <c r="X32" i="85" s="1"/>
  <c r="Z32" i="85" s="1"/>
  <c r="J32" i="85"/>
  <c r="H32" i="85"/>
  <c r="N32" i="85" s="1"/>
  <c r="D32" i="85"/>
  <c r="L32" i="85" s="1"/>
  <c r="B32" i="85"/>
  <c r="X31" i="85"/>
  <c r="Z31" i="85" s="1"/>
  <c r="N31" i="85"/>
  <c r="L31" i="85"/>
  <c r="B31" i="85"/>
  <c r="Z30" i="85"/>
  <c r="X30" i="85"/>
  <c r="N30" i="85"/>
  <c r="L30" i="85"/>
  <c r="B30" i="85"/>
  <c r="X29" i="85"/>
  <c r="Z29" i="85" s="1"/>
  <c r="V29" i="85"/>
  <c r="L29" i="85"/>
  <c r="N29" i="85" s="1"/>
  <c r="J29" i="85"/>
  <c r="F29" i="85"/>
  <c r="B29" i="85"/>
  <c r="X28" i="85"/>
  <c r="Z28" i="85" s="1"/>
  <c r="L28" i="85"/>
  <c r="N28" i="85" s="1"/>
  <c r="J28" i="85"/>
  <c r="B28" i="85"/>
  <c r="Z27" i="85"/>
  <c r="X27" i="85"/>
  <c r="N27" i="85"/>
  <c r="L27" i="85"/>
  <c r="B27" i="85"/>
  <c r="Z26" i="85"/>
  <c r="X26" i="85"/>
  <c r="N26" i="85"/>
  <c r="L26" i="85"/>
  <c r="J26" i="85"/>
  <c r="B26" i="85"/>
  <c r="X25" i="85"/>
  <c r="Z25" i="85" s="1"/>
  <c r="L25" i="85"/>
  <c r="N25" i="85" s="1"/>
  <c r="J25" i="85"/>
  <c r="B25" i="85"/>
  <c r="X24" i="85"/>
  <c r="Z24" i="85" s="1"/>
  <c r="V24" i="85"/>
  <c r="N24" i="85"/>
  <c r="L24" i="85"/>
  <c r="B24" i="85"/>
  <c r="Z23" i="85"/>
  <c r="X23" i="85"/>
  <c r="T23" i="85"/>
  <c r="P23" i="85"/>
  <c r="J23" i="85"/>
  <c r="H23" i="85"/>
  <c r="D23" i="85"/>
  <c r="L23" i="85" s="1"/>
  <c r="B23" i="85"/>
  <c r="T22" i="85" a="1"/>
  <c r="T22" i="85" s="1"/>
  <c r="P22" i="85" a="1"/>
  <c r="P22" i="85"/>
  <c r="H22" i="85" a="1"/>
  <c r="H22" i="85" s="1"/>
  <c r="D22" i="85" a="1"/>
  <c r="D22" i="85"/>
  <c r="T20" i="85"/>
  <c r="D20" i="85"/>
  <c r="Z18" i="85"/>
  <c r="X18" i="85"/>
  <c r="V18" i="85"/>
  <c r="N18" i="85"/>
  <c r="L18" i="85"/>
  <c r="F18" i="85"/>
  <c r="B18" i="85"/>
  <c r="X17" i="85"/>
  <c r="Z17" i="85" s="1"/>
  <c r="V17" i="85"/>
  <c r="N17" i="85"/>
  <c r="L17" i="85"/>
  <c r="J17" i="85"/>
  <c r="F17" i="85"/>
  <c r="B17" i="85"/>
  <c r="T16" i="85"/>
  <c r="P16" i="85"/>
  <c r="X16" i="85" s="1"/>
  <c r="Z16" i="85" s="1"/>
  <c r="J16" i="85"/>
  <c r="H16" i="85"/>
  <c r="N16" i="85" s="1"/>
  <c r="D16" i="85"/>
  <c r="L16" i="85" s="1"/>
  <c r="X14" i="85"/>
  <c r="T14" i="85"/>
  <c r="P14" i="85"/>
  <c r="N14" i="85"/>
  <c r="L14" i="85"/>
  <c r="H14" i="85"/>
  <c r="D14" i="85"/>
  <c r="B14" i="85"/>
  <c r="T13" i="85"/>
  <c r="P13" i="85"/>
  <c r="N13" i="85"/>
  <c r="H13" i="85"/>
  <c r="D13" i="85"/>
  <c r="L13" i="85" s="1"/>
  <c r="B13" i="85"/>
  <c r="T12" i="85"/>
  <c r="V86" i="85" s="1"/>
  <c r="H12" i="85"/>
  <c r="J86" i="85" s="1"/>
  <c r="D12" i="85"/>
  <c r="F43" i="85" s="1"/>
  <c r="D6" i="85"/>
  <c r="D4" i="85"/>
  <c r="Z39" i="84"/>
  <c r="X39" i="84"/>
  <c r="L39" i="84"/>
  <c r="N39" i="84" s="1"/>
  <c r="Z35" i="84"/>
  <c r="T35" i="84"/>
  <c r="P35" i="84"/>
  <c r="X35" i="84" s="1"/>
  <c r="H35" i="84"/>
  <c r="D35" i="84"/>
  <c r="X33" i="84"/>
  <c r="Z33" i="84" s="1"/>
  <c r="N33" i="84"/>
  <c r="L33" i="84"/>
  <c r="B33" i="84"/>
  <c r="Z32" i="84"/>
  <c r="X32" i="84"/>
  <c r="N32" i="84"/>
  <c r="L32" i="84"/>
  <c r="F32" i="84"/>
  <c r="B32" i="84"/>
  <c r="T31" i="84"/>
  <c r="P31" i="84"/>
  <c r="N31" i="84"/>
  <c r="H31" i="84"/>
  <c r="D31" i="84"/>
  <c r="L31" i="84" s="1"/>
  <c r="B31" i="84"/>
  <c r="X30" i="84"/>
  <c r="Z30" i="84" s="1"/>
  <c r="N30" i="84"/>
  <c r="L30" i="84"/>
  <c r="F30" i="84"/>
  <c r="B30" i="84"/>
  <c r="X29" i="84"/>
  <c r="Z29" i="84" s="1"/>
  <c r="T29" i="84"/>
  <c r="P29" i="84"/>
  <c r="H29" i="84"/>
  <c r="D29" i="84"/>
  <c r="B29" i="84"/>
  <c r="X28" i="84"/>
  <c r="Z28" i="84" s="1"/>
  <c r="N28" i="84"/>
  <c r="L28" i="84"/>
  <c r="B28" i="84"/>
  <c r="Z27" i="84"/>
  <c r="T27" i="84"/>
  <c r="P27" i="84"/>
  <c r="X27" i="84" s="1"/>
  <c r="N27" i="84"/>
  <c r="H27" i="84"/>
  <c r="D27" i="84"/>
  <c r="L27" i="84" s="1"/>
  <c r="B27" i="84"/>
  <c r="X26" i="84"/>
  <c r="Z26" i="84" s="1"/>
  <c r="L26" i="84"/>
  <c r="N26" i="84" s="1"/>
  <c r="B26" i="84"/>
  <c r="X25" i="84"/>
  <c r="Z25" i="84" s="1"/>
  <c r="T25" i="84"/>
  <c r="P25" i="84"/>
  <c r="H25" i="84"/>
  <c r="D25" i="84"/>
  <c r="B25" i="84"/>
  <c r="Z24" i="84"/>
  <c r="X24" i="84"/>
  <c r="N24" i="84"/>
  <c r="L24" i="84"/>
  <c r="B24" i="84"/>
  <c r="T23" i="84"/>
  <c r="P23" i="84"/>
  <c r="H23" i="84"/>
  <c r="D23" i="84"/>
  <c r="L23" i="84" s="1"/>
  <c r="N23" i="84" s="1"/>
  <c r="B23" i="84"/>
  <c r="X22" i="84"/>
  <c r="Z22" i="84" s="1"/>
  <c r="N22" i="84"/>
  <c r="L22" i="84"/>
  <c r="B22" i="84"/>
  <c r="Z21" i="84"/>
  <c r="X21" i="84"/>
  <c r="T21" i="84"/>
  <c r="P21" i="84"/>
  <c r="N21" i="84"/>
  <c r="H21" i="84"/>
  <c r="D21" i="84"/>
  <c r="L21" i="84" s="1"/>
  <c r="B21" i="84"/>
  <c r="T20" i="84" a="1"/>
  <c r="T20" i="84"/>
  <c r="P20" i="84" a="1"/>
  <c r="P20" i="84"/>
  <c r="L20" i="84"/>
  <c r="H20" i="84" a="1"/>
  <c r="H20" i="84" s="1"/>
  <c r="D20" i="84" a="1"/>
  <c r="D20" i="84" s="1"/>
  <c r="Z16" i="84"/>
  <c r="X16" i="84"/>
  <c r="L16" i="84"/>
  <c r="N16" i="84" s="1"/>
  <c r="B16" i="84"/>
  <c r="T15" i="84"/>
  <c r="P15" i="84"/>
  <c r="L15" i="84"/>
  <c r="H15" i="84"/>
  <c r="D15" i="84"/>
  <c r="T13" i="84"/>
  <c r="P13" i="84"/>
  <c r="H13" i="84"/>
  <c r="D13" i="84"/>
  <c r="D12" i="84" s="1"/>
  <c r="B13" i="84"/>
  <c r="T12" i="84"/>
  <c r="D6" i="84"/>
  <c r="D4" i="84"/>
  <c r="V45" i="83"/>
  <c r="J45" i="83"/>
  <c r="Z40" i="83"/>
  <c r="X40" i="83"/>
  <c r="N40" i="83"/>
  <c r="L40" i="83"/>
  <c r="T36" i="83"/>
  <c r="Z36" i="83" s="1"/>
  <c r="P36" i="83"/>
  <c r="N36" i="83"/>
  <c r="H36" i="83"/>
  <c r="D36" i="83"/>
  <c r="L36" i="83" s="1"/>
  <c r="Z34" i="83"/>
  <c r="X34" i="83"/>
  <c r="N34" i="83"/>
  <c r="L34" i="83"/>
  <c r="B34" i="83"/>
  <c r="X33" i="83"/>
  <c r="V33" i="83"/>
  <c r="T33" i="83"/>
  <c r="Z33" i="83" s="1"/>
  <c r="P33" i="83"/>
  <c r="N33" i="83"/>
  <c r="L33" i="83"/>
  <c r="H33" i="83"/>
  <c r="D33" i="83"/>
  <c r="B33" i="83"/>
  <c r="X32" i="83"/>
  <c r="Z32" i="83" s="1"/>
  <c r="V32" i="83"/>
  <c r="N32" i="83"/>
  <c r="L32" i="83"/>
  <c r="B32" i="83"/>
  <c r="X31" i="83"/>
  <c r="Z31" i="83" s="1"/>
  <c r="T31" i="83"/>
  <c r="P31" i="83"/>
  <c r="J31" i="83"/>
  <c r="H31" i="83"/>
  <c r="N31" i="83" s="1"/>
  <c r="D31" i="83"/>
  <c r="B31" i="83"/>
  <c r="Z30" i="83"/>
  <c r="X30" i="83"/>
  <c r="N30" i="83"/>
  <c r="L30" i="83"/>
  <c r="J30" i="83"/>
  <c r="B30" i="83"/>
  <c r="V29" i="83"/>
  <c r="T29" i="83"/>
  <c r="P29" i="83"/>
  <c r="N29" i="83"/>
  <c r="H29" i="83"/>
  <c r="F29" i="83"/>
  <c r="D29" i="83"/>
  <c r="L29" i="83" s="1"/>
  <c r="B29" i="83"/>
  <c r="X28" i="83"/>
  <c r="Z28" i="83" s="1"/>
  <c r="L28" i="83"/>
  <c r="N28" i="83" s="1"/>
  <c r="J28" i="83"/>
  <c r="B28" i="83"/>
  <c r="T27" i="83"/>
  <c r="R27" i="83"/>
  <c r="P27" i="83"/>
  <c r="X27" i="83" s="1"/>
  <c r="Z27" i="83" s="1"/>
  <c r="L27" i="83"/>
  <c r="J27" i="83"/>
  <c r="H27" i="83"/>
  <c r="N27" i="83" s="1"/>
  <c r="D27" i="83"/>
  <c r="B27" i="83"/>
  <c r="Z26" i="83"/>
  <c r="X26" i="83"/>
  <c r="N26" i="83"/>
  <c r="L26" i="83"/>
  <c r="B26" i="83"/>
  <c r="X25" i="83"/>
  <c r="V25" i="83"/>
  <c r="T25" i="83"/>
  <c r="Z25" i="83" s="1"/>
  <c r="P25" i="83"/>
  <c r="N25" i="83"/>
  <c r="L25" i="83"/>
  <c r="H25" i="83"/>
  <c r="D25" i="83"/>
  <c r="B25" i="83"/>
  <c r="X24" i="83"/>
  <c r="Z24" i="83" s="1"/>
  <c r="V24" i="83"/>
  <c r="N24" i="83"/>
  <c r="L24" i="83"/>
  <c r="B24" i="83"/>
  <c r="Z23" i="83"/>
  <c r="X23" i="83"/>
  <c r="N23" i="83"/>
  <c r="L23" i="83"/>
  <c r="B23" i="83"/>
  <c r="Z22" i="83"/>
  <c r="X22" i="83"/>
  <c r="N22" i="83"/>
  <c r="L22" i="83"/>
  <c r="B22" i="83"/>
  <c r="X21" i="83"/>
  <c r="Z21" i="83" s="1"/>
  <c r="V21" i="83"/>
  <c r="N21" i="83"/>
  <c r="L21" i="83"/>
  <c r="J21" i="83"/>
  <c r="B21" i="83"/>
  <c r="X20" i="83"/>
  <c r="Z20" i="83" s="1"/>
  <c r="N20" i="83"/>
  <c r="L20" i="83"/>
  <c r="J20" i="83"/>
  <c r="B20" i="83"/>
  <c r="T19" i="83"/>
  <c r="R19" i="83"/>
  <c r="P19" i="83"/>
  <c r="X19" i="83" s="1"/>
  <c r="Z19" i="83" s="1"/>
  <c r="L19" i="83"/>
  <c r="J19" i="83"/>
  <c r="H19" i="83"/>
  <c r="N19" i="83" s="1"/>
  <c r="D19" i="83"/>
  <c r="B19" i="83"/>
  <c r="T18" i="83" a="1"/>
  <c r="T18" i="83" s="1"/>
  <c r="P18" i="83" a="1"/>
  <c r="P18" i="83"/>
  <c r="J18" i="83"/>
  <c r="H18" i="83" a="1"/>
  <c r="H18" i="83" s="1"/>
  <c r="D18" i="83" a="1"/>
  <c r="D18" i="83"/>
  <c r="Z16" i="83"/>
  <c r="T16" i="83"/>
  <c r="T38" i="83" s="1"/>
  <c r="J16" i="83"/>
  <c r="T14" i="83"/>
  <c r="Z14" i="83" s="1"/>
  <c r="P14" i="83"/>
  <c r="N14" i="83"/>
  <c r="L14" i="83"/>
  <c r="H14" i="83"/>
  <c r="D14" i="83"/>
  <c r="Z12" i="83"/>
  <c r="T12" i="83"/>
  <c r="V42" i="83" s="1"/>
  <c r="P12" i="83"/>
  <c r="R26" i="83" s="1"/>
  <c r="H12" i="83"/>
  <c r="J40" i="83" s="1"/>
  <c r="D12" i="83"/>
  <c r="D6" i="83"/>
  <c r="D4" i="83"/>
  <c r="V37" i="82"/>
  <c r="R37" i="82"/>
  <c r="Z35" i="82"/>
  <c r="X35" i="82"/>
  <c r="N35" i="82"/>
  <c r="L35" i="82"/>
  <c r="J35" i="82"/>
  <c r="Z31" i="82"/>
  <c r="V31" i="82"/>
  <c r="T31" i="82"/>
  <c r="R31" i="82"/>
  <c r="P31" i="82"/>
  <c r="X31" i="82" s="1"/>
  <c r="H31" i="82"/>
  <c r="N31" i="82" s="1"/>
  <c r="D31" i="82"/>
  <c r="X29" i="82"/>
  <c r="Z29" i="82" s="1"/>
  <c r="L29" i="82"/>
  <c r="N29" i="82" s="1"/>
  <c r="B29" i="82"/>
  <c r="Z28" i="82"/>
  <c r="T28" i="82"/>
  <c r="R28" i="82"/>
  <c r="P28" i="82"/>
  <c r="X28" i="82" s="1"/>
  <c r="L28" i="82"/>
  <c r="J28" i="82"/>
  <c r="H28" i="82"/>
  <c r="N28" i="82" s="1"/>
  <c r="D28" i="82"/>
  <c r="B28" i="82"/>
  <c r="Z27" i="82"/>
  <c r="X27" i="82"/>
  <c r="R27" i="82"/>
  <c r="N27" i="82"/>
  <c r="L27" i="82"/>
  <c r="F27" i="82"/>
  <c r="B27" i="82"/>
  <c r="X26" i="82"/>
  <c r="V26" i="82"/>
  <c r="T26" i="82"/>
  <c r="Z26" i="82" s="1"/>
  <c r="P26" i="82"/>
  <c r="N26" i="82"/>
  <c r="L26" i="82"/>
  <c r="H26" i="82"/>
  <c r="D26" i="82"/>
  <c r="B26" i="82"/>
  <c r="X25" i="82"/>
  <c r="Z25" i="82" s="1"/>
  <c r="N25" i="82"/>
  <c r="L25" i="82"/>
  <c r="B25" i="82"/>
  <c r="X24" i="82"/>
  <c r="Z24" i="82" s="1"/>
  <c r="R24" i="82"/>
  <c r="N24" i="82"/>
  <c r="L24" i="82"/>
  <c r="B24" i="82"/>
  <c r="Z23" i="82"/>
  <c r="T23" i="82"/>
  <c r="X23" i="82" s="1"/>
  <c r="P23" i="82"/>
  <c r="N23" i="82"/>
  <c r="L23" i="82"/>
  <c r="H23" i="82"/>
  <c r="D23" i="82"/>
  <c r="B23" i="82"/>
  <c r="X22" i="82"/>
  <c r="Z22" i="82" s="1"/>
  <c r="R22" i="82"/>
  <c r="N22" i="82"/>
  <c r="L22" i="82"/>
  <c r="B22" i="82"/>
  <c r="X21" i="82"/>
  <c r="Z21" i="82" s="1"/>
  <c r="V21" i="82"/>
  <c r="T21" i="82"/>
  <c r="R21" i="82"/>
  <c r="P21" i="82"/>
  <c r="H21" i="82"/>
  <c r="N21" i="82" s="1"/>
  <c r="D21" i="82"/>
  <c r="B21" i="82"/>
  <c r="Z20" i="82"/>
  <c r="X20" i="82"/>
  <c r="R20" i="82"/>
  <c r="N20" i="82"/>
  <c r="L20" i="82"/>
  <c r="B20" i="82"/>
  <c r="T19" i="82"/>
  <c r="R19" i="82"/>
  <c r="P19" i="82"/>
  <c r="X19" i="82" s="1"/>
  <c r="H19" i="82"/>
  <c r="D19" i="82"/>
  <c r="L19" i="82" s="1"/>
  <c r="N19" i="82" s="1"/>
  <c r="B19" i="82"/>
  <c r="T18" i="82" a="1"/>
  <c r="T18" i="82" s="1"/>
  <c r="R18" i="82"/>
  <c r="P18" i="82" a="1"/>
  <c r="P18" i="82"/>
  <c r="H18" i="82" a="1"/>
  <c r="H18" i="82" s="1"/>
  <c r="D18" i="82" a="1"/>
  <c r="D18" i="82"/>
  <c r="L18" i="82" s="1"/>
  <c r="F16" i="82"/>
  <c r="T14" i="82"/>
  <c r="Z14" i="82" s="1"/>
  <c r="P14" i="82"/>
  <c r="N14" i="82"/>
  <c r="H14" i="82"/>
  <c r="F14" i="82"/>
  <c r="D14" i="82"/>
  <c r="L14" i="82" s="1"/>
  <c r="X12" i="82"/>
  <c r="T12" i="82"/>
  <c r="V22" i="82" s="1"/>
  <c r="P12" i="82"/>
  <c r="R23" i="82" s="1"/>
  <c r="H12" i="82"/>
  <c r="D12" i="82"/>
  <c r="D6" i="82"/>
  <c r="D4" i="82"/>
  <c r="R79" i="81"/>
  <c r="J79" i="81"/>
  <c r="R76" i="81"/>
  <c r="Z74" i="81"/>
  <c r="X74" i="81"/>
  <c r="N74" i="81"/>
  <c r="L74" i="81"/>
  <c r="R72" i="81"/>
  <c r="Z70" i="81"/>
  <c r="X70" i="81"/>
  <c r="T70" i="81"/>
  <c r="R70" i="81"/>
  <c r="P70" i="81"/>
  <c r="J70" i="81"/>
  <c r="H70" i="81"/>
  <c r="N70" i="81" s="1"/>
  <c r="D70" i="81"/>
  <c r="B70" i="81"/>
  <c r="T69" i="81"/>
  <c r="R69" i="81"/>
  <c r="P69" i="81"/>
  <c r="N69" i="81"/>
  <c r="L69" i="81"/>
  <c r="H69" i="81"/>
  <c r="D69" i="81"/>
  <c r="D68" i="81" s="1"/>
  <c r="B69" i="81"/>
  <c r="P68" i="81"/>
  <c r="H68" i="81"/>
  <c r="X66" i="81"/>
  <c r="Z66" i="81" s="1"/>
  <c r="R66" i="81"/>
  <c r="L66" i="81"/>
  <c r="N66" i="81" s="1"/>
  <c r="B66" i="81"/>
  <c r="X65" i="81"/>
  <c r="Z65" i="81" s="1"/>
  <c r="T65" i="81"/>
  <c r="R65" i="81"/>
  <c r="P65" i="81"/>
  <c r="H65" i="81"/>
  <c r="D65" i="81"/>
  <c r="L65" i="81" s="1"/>
  <c r="B65" i="81"/>
  <c r="Z64" i="81"/>
  <c r="X64" i="81"/>
  <c r="N64" i="81"/>
  <c r="L64" i="81"/>
  <c r="B64" i="81"/>
  <c r="Z63" i="81"/>
  <c r="X63" i="81"/>
  <c r="R63" i="81"/>
  <c r="N63" i="81"/>
  <c r="L63" i="81"/>
  <c r="B63" i="81"/>
  <c r="V62" i="81"/>
  <c r="T62" i="81"/>
  <c r="P62" i="81"/>
  <c r="N62" i="81"/>
  <c r="H62" i="81"/>
  <c r="D62" i="81"/>
  <c r="L62" i="81" s="1"/>
  <c r="B62" i="81"/>
  <c r="X61" i="81"/>
  <c r="Z61" i="81" s="1"/>
  <c r="L61" i="81"/>
  <c r="N61" i="81" s="1"/>
  <c r="J61" i="81"/>
  <c r="B61" i="81"/>
  <c r="T60" i="81"/>
  <c r="R60" i="81"/>
  <c r="P60" i="81"/>
  <c r="X60" i="81" s="1"/>
  <c r="Z60" i="81" s="1"/>
  <c r="L60" i="81"/>
  <c r="H60" i="81"/>
  <c r="N60" i="81" s="1"/>
  <c r="D60" i="81"/>
  <c r="B60" i="81"/>
  <c r="Z59" i="81"/>
  <c r="X59" i="81"/>
  <c r="V59" i="81"/>
  <c r="R59" i="81"/>
  <c r="N59" i="81"/>
  <c r="L59" i="81"/>
  <c r="B59" i="81"/>
  <c r="X58" i="81"/>
  <c r="Z58" i="81" s="1"/>
  <c r="N58" i="81"/>
  <c r="L58" i="81"/>
  <c r="B58" i="81"/>
  <c r="T57" i="81"/>
  <c r="P57" i="81"/>
  <c r="X57" i="81" s="1"/>
  <c r="Z57" i="81" s="1"/>
  <c r="N57" i="81"/>
  <c r="H57" i="81"/>
  <c r="L57" i="81" s="1"/>
  <c r="D57" i="81"/>
  <c r="B57" i="81"/>
  <c r="Z56" i="81"/>
  <c r="X56" i="81"/>
  <c r="R56" i="81"/>
  <c r="N56" i="81"/>
  <c r="L56" i="81"/>
  <c r="B56" i="81"/>
  <c r="Z55" i="81"/>
  <c r="X55" i="81"/>
  <c r="R55" i="81"/>
  <c r="N55" i="81"/>
  <c r="L55" i="81"/>
  <c r="B55" i="81"/>
  <c r="X54" i="81"/>
  <c r="Z54" i="81" s="1"/>
  <c r="L54" i="81"/>
  <c r="N54" i="81" s="1"/>
  <c r="F54" i="81"/>
  <c r="B54" i="81"/>
  <c r="X53" i="81"/>
  <c r="Z53" i="81" s="1"/>
  <c r="T53" i="81"/>
  <c r="P53" i="81"/>
  <c r="H53" i="81"/>
  <c r="D53" i="81"/>
  <c r="B53" i="81"/>
  <c r="Z52" i="81"/>
  <c r="X52" i="81"/>
  <c r="R52" i="81"/>
  <c r="N52" i="81"/>
  <c r="L52" i="81"/>
  <c r="B52" i="81"/>
  <c r="Z51" i="81"/>
  <c r="X51" i="81"/>
  <c r="V51" i="81"/>
  <c r="R51" i="81"/>
  <c r="N51" i="81"/>
  <c r="L51" i="81"/>
  <c r="B51" i="81"/>
  <c r="X50" i="81"/>
  <c r="Z50" i="81" s="1"/>
  <c r="L50" i="81"/>
  <c r="N50" i="81" s="1"/>
  <c r="B50" i="81"/>
  <c r="X49" i="81"/>
  <c r="Z49" i="81" s="1"/>
  <c r="T49" i="81"/>
  <c r="P49" i="81"/>
  <c r="N49" i="81"/>
  <c r="H49" i="81"/>
  <c r="L49" i="81" s="1"/>
  <c r="D49" i="81"/>
  <c r="B49" i="81"/>
  <c r="X48" i="81"/>
  <c r="Z48" i="81" s="1"/>
  <c r="R48" i="81"/>
  <c r="N48" i="81"/>
  <c r="L48" i="81"/>
  <c r="B48" i="81"/>
  <c r="T47" i="81"/>
  <c r="P47" i="81"/>
  <c r="J47" i="81"/>
  <c r="H47" i="81"/>
  <c r="D47" i="81"/>
  <c r="L47" i="81" s="1"/>
  <c r="N47" i="81" s="1"/>
  <c r="B47" i="81"/>
  <c r="X46" i="81"/>
  <c r="Z46" i="81" s="1"/>
  <c r="V46" i="81"/>
  <c r="R46" i="81"/>
  <c r="L46" i="81"/>
  <c r="N46" i="81" s="1"/>
  <c r="B46" i="81"/>
  <c r="X45" i="81"/>
  <c r="Z45" i="81" s="1"/>
  <c r="T45" i="81"/>
  <c r="R45" i="81"/>
  <c r="P45" i="81"/>
  <c r="H45" i="81"/>
  <c r="D45" i="81"/>
  <c r="B45" i="81"/>
  <c r="Z44" i="81"/>
  <c r="X44" i="81"/>
  <c r="N44" i="81"/>
  <c r="L44" i="81"/>
  <c r="F44" i="81"/>
  <c r="B44" i="81"/>
  <c r="T43" i="81"/>
  <c r="R43" i="81"/>
  <c r="P43" i="81"/>
  <c r="N43" i="81"/>
  <c r="H43" i="81"/>
  <c r="D43" i="81"/>
  <c r="L43" i="81" s="1"/>
  <c r="B43" i="81"/>
  <c r="X42" i="81"/>
  <c r="Z42" i="81" s="1"/>
  <c r="N42" i="81"/>
  <c r="L42" i="81"/>
  <c r="J42" i="81"/>
  <c r="B42" i="81"/>
  <c r="Z41" i="81"/>
  <c r="X41" i="81"/>
  <c r="T41" i="81"/>
  <c r="P41" i="81"/>
  <c r="N41" i="81"/>
  <c r="J41" i="81"/>
  <c r="H41" i="81"/>
  <c r="D41" i="81"/>
  <c r="L41" i="81" s="1"/>
  <c r="B41" i="81"/>
  <c r="Z40" i="81"/>
  <c r="X40" i="81"/>
  <c r="R40" i="81"/>
  <c r="N40" i="81"/>
  <c r="L40" i="81"/>
  <c r="B40" i="81"/>
  <c r="Z39" i="81"/>
  <c r="T39" i="81"/>
  <c r="P39" i="81"/>
  <c r="N39" i="81"/>
  <c r="L39" i="81"/>
  <c r="J39" i="81"/>
  <c r="H39" i="81"/>
  <c r="F39" i="81"/>
  <c r="D39" i="81"/>
  <c r="B39" i="81"/>
  <c r="X38" i="81"/>
  <c r="Z38" i="81" s="1"/>
  <c r="R38" i="81"/>
  <c r="L38" i="81"/>
  <c r="N38" i="81" s="1"/>
  <c r="B38" i="81"/>
  <c r="X37" i="81"/>
  <c r="Z37" i="81" s="1"/>
  <c r="N37" i="81"/>
  <c r="L37" i="81"/>
  <c r="B37" i="81"/>
  <c r="Z36" i="81"/>
  <c r="T36" i="81"/>
  <c r="X36" i="81" s="1"/>
  <c r="R36" i="81"/>
  <c r="P36" i="81"/>
  <c r="J36" i="81"/>
  <c r="H36" i="81"/>
  <c r="D36" i="81"/>
  <c r="L36" i="81" s="1"/>
  <c r="B36" i="81"/>
  <c r="Z35" i="81"/>
  <c r="X35" i="81"/>
  <c r="R35" i="81"/>
  <c r="N35" i="81"/>
  <c r="L35" i="81"/>
  <c r="F35" i="81"/>
  <c r="B35" i="81"/>
  <c r="T34" i="81"/>
  <c r="P34" i="81"/>
  <c r="H34" i="81"/>
  <c r="D34" i="81"/>
  <c r="L34" i="81" s="1"/>
  <c r="N34" i="81" s="1"/>
  <c r="B34" i="81"/>
  <c r="Z33" i="81"/>
  <c r="X33" i="81"/>
  <c r="N33" i="81"/>
  <c r="L33" i="81"/>
  <c r="J33" i="81"/>
  <c r="B33" i="81"/>
  <c r="Z32" i="81"/>
  <c r="X32" i="81"/>
  <c r="N32" i="81"/>
  <c r="L32" i="81"/>
  <c r="B32" i="81"/>
  <c r="Z31" i="81"/>
  <c r="X31" i="81"/>
  <c r="R31" i="81"/>
  <c r="N31" i="81"/>
  <c r="L31" i="81"/>
  <c r="J31" i="81"/>
  <c r="B31" i="81"/>
  <c r="X30" i="81"/>
  <c r="Z30" i="81" s="1"/>
  <c r="R30" i="81"/>
  <c r="N30" i="81"/>
  <c r="L30" i="81"/>
  <c r="J30" i="81"/>
  <c r="B30" i="81"/>
  <c r="X29" i="81"/>
  <c r="Z29" i="81" s="1"/>
  <c r="L29" i="81"/>
  <c r="N29" i="81" s="1"/>
  <c r="B29" i="81"/>
  <c r="X28" i="81"/>
  <c r="T28" i="81"/>
  <c r="Z28" i="81" s="1"/>
  <c r="R28" i="81"/>
  <c r="P28" i="81"/>
  <c r="H28" i="81"/>
  <c r="D28" i="81"/>
  <c r="B28" i="81"/>
  <c r="Z27" i="81"/>
  <c r="X27" i="81"/>
  <c r="R27" i="81"/>
  <c r="N27" i="81"/>
  <c r="L27" i="81"/>
  <c r="J27" i="81"/>
  <c r="F27" i="81"/>
  <c r="B27" i="81"/>
  <c r="X26" i="81"/>
  <c r="Z26" i="81" s="1"/>
  <c r="R26" i="81"/>
  <c r="L26" i="81"/>
  <c r="N26" i="81" s="1"/>
  <c r="B26" i="81"/>
  <c r="X25" i="81"/>
  <c r="Z25" i="81" s="1"/>
  <c r="N25" i="81"/>
  <c r="L25" i="81"/>
  <c r="B25" i="81"/>
  <c r="Z24" i="81"/>
  <c r="X24" i="81"/>
  <c r="R24" i="81"/>
  <c r="N24" i="81"/>
  <c r="L24" i="81"/>
  <c r="B24" i="81"/>
  <c r="Z23" i="81"/>
  <c r="X23" i="81"/>
  <c r="R23" i="81"/>
  <c r="N23" i="81"/>
  <c r="L23" i="81"/>
  <c r="B23" i="81"/>
  <c r="X22" i="81"/>
  <c r="Z22" i="81" s="1"/>
  <c r="L22" i="81"/>
  <c r="N22" i="81" s="1"/>
  <c r="F22" i="81"/>
  <c r="B22" i="81"/>
  <c r="X21" i="81"/>
  <c r="Z21" i="81" s="1"/>
  <c r="L21" i="81"/>
  <c r="N21" i="81" s="1"/>
  <c r="J21" i="81"/>
  <c r="B21" i="81"/>
  <c r="Z20" i="81"/>
  <c r="X20" i="81"/>
  <c r="N20" i="81"/>
  <c r="L20" i="81"/>
  <c r="B20" i="81"/>
  <c r="T19" i="81"/>
  <c r="R19" i="81"/>
  <c r="P19" i="81"/>
  <c r="N19" i="81"/>
  <c r="L19" i="81"/>
  <c r="H19" i="81"/>
  <c r="D19" i="81"/>
  <c r="B19" i="81"/>
  <c r="T18" i="81" a="1"/>
  <c r="T18" i="81" s="1"/>
  <c r="P18" i="81" a="1"/>
  <c r="P18" i="81"/>
  <c r="X18" i="81" s="1"/>
  <c r="J18" i="81"/>
  <c r="H18" i="81" a="1"/>
  <c r="H18" i="81" s="1"/>
  <c r="D18" i="81" a="1"/>
  <c r="D18" i="81" s="1"/>
  <c r="L18" i="81" s="1"/>
  <c r="V16" i="81"/>
  <c r="H16" i="81"/>
  <c r="T14" i="81"/>
  <c r="Z14" i="81" s="1"/>
  <c r="P14" i="81"/>
  <c r="N14" i="81"/>
  <c r="H14" i="81"/>
  <c r="D14" i="81"/>
  <c r="L14" i="81" s="1"/>
  <c r="T12" i="81"/>
  <c r="V55" i="81" s="1"/>
  <c r="P12" i="81"/>
  <c r="R58" i="81" s="1"/>
  <c r="H12" i="81"/>
  <c r="J72" i="81" s="1"/>
  <c r="D12" i="81"/>
  <c r="D6" i="81"/>
  <c r="D4" i="81"/>
  <c r="Z34" i="80"/>
  <c r="X34" i="80"/>
  <c r="N34" i="80"/>
  <c r="L34" i="80"/>
  <c r="F34" i="80"/>
  <c r="J32" i="80"/>
  <c r="Z30" i="80"/>
  <c r="T30" i="80"/>
  <c r="X30" i="80" s="1"/>
  <c r="P30" i="80"/>
  <c r="H30" i="80"/>
  <c r="N30" i="80" s="1"/>
  <c r="D30" i="80"/>
  <c r="L30" i="80" s="1"/>
  <c r="Z28" i="80"/>
  <c r="X28" i="80"/>
  <c r="N28" i="80"/>
  <c r="L28" i="80"/>
  <c r="B28" i="80"/>
  <c r="T27" i="80"/>
  <c r="P27" i="80"/>
  <c r="X27" i="80" s="1"/>
  <c r="N27" i="80"/>
  <c r="L27" i="80"/>
  <c r="H27" i="80"/>
  <c r="D27" i="80"/>
  <c r="B27" i="80"/>
  <c r="X26" i="80"/>
  <c r="Z26" i="80" s="1"/>
  <c r="V26" i="80"/>
  <c r="N26" i="80"/>
  <c r="L26" i="80"/>
  <c r="J26" i="80"/>
  <c r="B26" i="80"/>
  <c r="T25" i="80"/>
  <c r="P25" i="80"/>
  <c r="X25" i="80" s="1"/>
  <c r="Z25" i="80" s="1"/>
  <c r="J25" i="80"/>
  <c r="H25" i="80"/>
  <c r="L25" i="80" s="1"/>
  <c r="D25" i="80"/>
  <c r="B25" i="80"/>
  <c r="X24" i="80"/>
  <c r="Z24" i="80" s="1"/>
  <c r="R24" i="80"/>
  <c r="N24" i="80"/>
  <c r="L24" i="80"/>
  <c r="B24" i="80"/>
  <c r="V23" i="80"/>
  <c r="T23" i="80"/>
  <c r="P23" i="80"/>
  <c r="X23" i="80" s="1"/>
  <c r="Z23" i="80" s="1"/>
  <c r="N23" i="80"/>
  <c r="J23" i="80"/>
  <c r="H23" i="80"/>
  <c r="D23" i="80"/>
  <c r="L23" i="80" s="1"/>
  <c r="B23" i="80"/>
  <c r="X22" i="80"/>
  <c r="Z22" i="80" s="1"/>
  <c r="V22" i="80"/>
  <c r="L22" i="80"/>
  <c r="N22" i="80" s="1"/>
  <c r="B22" i="80"/>
  <c r="X21" i="80"/>
  <c r="Z21" i="80" s="1"/>
  <c r="T21" i="80"/>
  <c r="P21" i="80"/>
  <c r="H21" i="80"/>
  <c r="D21" i="80"/>
  <c r="B21" i="80"/>
  <c r="Z20" i="80"/>
  <c r="X20" i="80"/>
  <c r="N20" i="80"/>
  <c r="L20" i="80"/>
  <c r="F20" i="80"/>
  <c r="B20" i="80"/>
  <c r="T19" i="80"/>
  <c r="P19" i="80"/>
  <c r="X19" i="80" s="1"/>
  <c r="Z19" i="80" s="1"/>
  <c r="N19" i="80"/>
  <c r="J19" i="80"/>
  <c r="H19" i="80"/>
  <c r="D19" i="80"/>
  <c r="L19" i="80" s="1"/>
  <c r="B19" i="80"/>
  <c r="V18" i="80"/>
  <c r="T18" i="80" a="1"/>
  <c r="T18" i="80" s="1"/>
  <c r="P18" i="80" a="1"/>
  <c r="P18" i="80"/>
  <c r="H18" i="80" a="1"/>
  <c r="H18" i="80" s="1"/>
  <c r="D18" i="80" a="1"/>
  <c r="D18" i="80"/>
  <c r="L18" i="80" s="1"/>
  <c r="T16" i="80"/>
  <c r="H16" i="80"/>
  <c r="H32" i="80" s="1"/>
  <c r="D16" i="80"/>
  <c r="V14" i="80"/>
  <c r="T14" i="80"/>
  <c r="Z14" i="80" s="1"/>
  <c r="P14" i="80"/>
  <c r="X14" i="80" s="1"/>
  <c r="N14" i="80"/>
  <c r="H14" i="80"/>
  <c r="D14" i="80"/>
  <c r="L14" i="80" s="1"/>
  <c r="X12" i="80"/>
  <c r="T12" i="80"/>
  <c r="P12" i="80"/>
  <c r="H12" i="80"/>
  <c r="J18" i="80" s="1"/>
  <c r="D12" i="80"/>
  <c r="F16" i="80" s="1"/>
  <c r="D6" i="80"/>
  <c r="D4" i="80"/>
  <c r="Z85" i="79"/>
  <c r="X85" i="79"/>
  <c r="N85" i="79"/>
  <c r="L85" i="79"/>
  <c r="Z81" i="79"/>
  <c r="X81" i="79"/>
  <c r="T81" i="79"/>
  <c r="P81" i="79"/>
  <c r="P80" i="79" s="1"/>
  <c r="H81" i="79"/>
  <c r="D81" i="79"/>
  <c r="B81" i="79"/>
  <c r="T80" i="79"/>
  <c r="Z80" i="79" s="1"/>
  <c r="Z78" i="79"/>
  <c r="X78" i="79"/>
  <c r="N78" i="79"/>
  <c r="L78" i="79"/>
  <c r="B78" i="79"/>
  <c r="T77" i="79"/>
  <c r="P77" i="79"/>
  <c r="L77" i="79"/>
  <c r="N77" i="79" s="1"/>
  <c r="H77" i="79"/>
  <c r="D77" i="79"/>
  <c r="B77" i="79"/>
  <c r="Z76" i="79"/>
  <c r="X76" i="79"/>
  <c r="N76" i="79"/>
  <c r="L76" i="79"/>
  <c r="B76" i="79"/>
  <c r="Z75" i="79"/>
  <c r="T75" i="79"/>
  <c r="R75" i="79"/>
  <c r="P75" i="79"/>
  <c r="X75" i="79" s="1"/>
  <c r="J75" i="79"/>
  <c r="H75" i="79"/>
  <c r="N75" i="79" s="1"/>
  <c r="D75" i="79"/>
  <c r="L75" i="79" s="1"/>
  <c r="B75" i="79"/>
  <c r="Z74" i="79"/>
  <c r="X74" i="79"/>
  <c r="N74" i="79"/>
  <c r="L74" i="79"/>
  <c r="B74" i="79"/>
  <c r="T73" i="79"/>
  <c r="P73" i="79"/>
  <c r="X73" i="79" s="1"/>
  <c r="H73" i="79"/>
  <c r="N73" i="79" s="1"/>
  <c r="D73" i="79"/>
  <c r="L73" i="79" s="1"/>
  <c r="B73" i="79"/>
  <c r="Z72" i="79"/>
  <c r="X72" i="79"/>
  <c r="N72" i="79"/>
  <c r="L72" i="79"/>
  <c r="B72" i="79"/>
  <c r="Z71" i="79"/>
  <c r="X71" i="79"/>
  <c r="R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X64" i="79"/>
  <c r="Z64" i="79" s="1"/>
  <c r="T64" i="79"/>
  <c r="P64" i="79"/>
  <c r="N64" i="79"/>
  <c r="H64" i="79"/>
  <c r="D64" i="79"/>
  <c r="L64" i="79" s="1"/>
  <c r="B64" i="79"/>
  <c r="Z63" i="79"/>
  <c r="X63" i="79"/>
  <c r="N63" i="79"/>
  <c r="L63" i="79"/>
  <c r="B63" i="79"/>
  <c r="Z62" i="79"/>
  <c r="T62" i="79"/>
  <c r="P62" i="79"/>
  <c r="X62" i="79" s="1"/>
  <c r="N62" i="79"/>
  <c r="L62" i="79"/>
  <c r="H62" i="79"/>
  <c r="D62" i="79"/>
  <c r="B62" i="79"/>
  <c r="Z61" i="79"/>
  <c r="X61" i="79"/>
  <c r="N61" i="79"/>
  <c r="L61" i="79"/>
  <c r="B61" i="79"/>
  <c r="Z60" i="79"/>
  <c r="X60" i="79"/>
  <c r="N60" i="79"/>
  <c r="L60" i="79"/>
  <c r="B60" i="79"/>
  <c r="Z59" i="79"/>
  <c r="X59" i="79"/>
  <c r="N59" i="79"/>
  <c r="L59" i="79"/>
  <c r="B59" i="79"/>
  <c r="Z58" i="79"/>
  <c r="X58" i="79"/>
  <c r="N58" i="79"/>
  <c r="L58" i="79"/>
  <c r="B58" i="79"/>
  <c r="T57" i="79"/>
  <c r="P57" i="79"/>
  <c r="H57" i="79"/>
  <c r="D57" i="79"/>
  <c r="L57" i="79" s="1"/>
  <c r="N57" i="79" s="1"/>
  <c r="B57" i="79"/>
  <c r="Z56" i="79"/>
  <c r="X56" i="79"/>
  <c r="N56" i="79"/>
  <c r="L56" i="79"/>
  <c r="J56" i="79"/>
  <c r="B56" i="79"/>
  <c r="X55" i="79"/>
  <c r="Z55" i="79" s="1"/>
  <c r="N55" i="79"/>
  <c r="L55" i="79"/>
  <c r="B55" i="79"/>
  <c r="T54" i="79"/>
  <c r="P54" i="79"/>
  <c r="N54" i="79"/>
  <c r="H54" i="79"/>
  <c r="D54" i="79"/>
  <c r="L54" i="79" s="1"/>
  <c r="B54" i="79"/>
  <c r="X53" i="79"/>
  <c r="Z53" i="79" s="1"/>
  <c r="N53" i="79"/>
  <c r="L53" i="79"/>
  <c r="B53" i="79"/>
  <c r="T52" i="79"/>
  <c r="P52" i="79"/>
  <c r="X52" i="79" s="1"/>
  <c r="Z52" i="79" s="1"/>
  <c r="N52" i="79"/>
  <c r="H52" i="79"/>
  <c r="D52" i="79"/>
  <c r="L52" i="79" s="1"/>
  <c r="B52" i="79"/>
  <c r="Z51" i="79"/>
  <c r="X51" i="79"/>
  <c r="N51" i="79"/>
  <c r="L51" i="79"/>
  <c r="B51" i="79"/>
  <c r="Z50" i="79"/>
  <c r="T50" i="79"/>
  <c r="P50" i="79"/>
  <c r="X50" i="79" s="1"/>
  <c r="L50" i="79"/>
  <c r="H50" i="79"/>
  <c r="N50" i="79" s="1"/>
  <c r="D50" i="79"/>
  <c r="B50" i="79"/>
  <c r="Z49" i="79"/>
  <c r="X49" i="79"/>
  <c r="N49" i="79"/>
  <c r="L49" i="79"/>
  <c r="B49" i="79"/>
  <c r="X48" i="79"/>
  <c r="T48" i="79"/>
  <c r="P48" i="79"/>
  <c r="H48" i="79"/>
  <c r="N48" i="79" s="1"/>
  <c r="D48" i="79"/>
  <c r="B48" i="79"/>
  <c r="Z47" i="79"/>
  <c r="X47" i="79"/>
  <c r="N47" i="79"/>
  <c r="L47" i="79"/>
  <c r="B47" i="79"/>
  <c r="T46" i="79"/>
  <c r="P46" i="79"/>
  <c r="J46" i="79"/>
  <c r="H46" i="79"/>
  <c r="N46" i="79" s="1"/>
  <c r="D46" i="79"/>
  <c r="B46" i="79"/>
  <c r="X45" i="79"/>
  <c r="Z45" i="79" s="1"/>
  <c r="N45" i="79"/>
  <c r="L45" i="79"/>
  <c r="J45" i="79"/>
  <c r="B45" i="79"/>
  <c r="Z44" i="79"/>
  <c r="X44" i="79"/>
  <c r="L44" i="79"/>
  <c r="N44" i="79" s="1"/>
  <c r="B44" i="79"/>
  <c r="X43" i="79"/>
  <c r="Z43" i="79" s="1"/>
  <c r="T43" i="79"/>
  <c r="P43" i="79"/>
  <c r="H43" i="79"/>
  <c r="D43" i="79"/>
  <c r="B43" i="79"/>
  <c r="Z42" i="79"/>
  <c r="X42" i="79"/>
  <c r="N42" i="79"/>
  <c r="L42" i="79"/>
  <c r="B42" i="79"/>
  <c r="T41" i="79"/>
  <c r="P41" i="79"/>
  <c r="N41" i="79"/>
  <c r="H41" i="79"/>
  <c r="D41" i="79"/>
  <c r="L41" i="79" s="1"/>
  <c r="B41" i="79"/>
  <c r="Z40" i="79"/>
  <c r="X40" i="79"/>
  <c r="N40" i="79"/>
  <c r="L40" i="79"/>
  <c r="B40" i="79"/>
  <c r="Z39" i="79"/>
  <c r="T39" i="79"/>
  <c r="P39" i="79"/>
  <c r="X39" i="79" s="1"/>
  <c r="N39" i="79"/>
  <c r="H39" i="79"/>
  <c r="D39" i="79"/>
  <c r="L39" i="79" s="1"/>
  <c r="B39" i="79"/>
  <c r="Z38" i="79"/>
  <c r="X38" i="79"/>
  <c r="N38" i="79"/>
  <c r="L38" i="79"/>
  <c r="B38" i="79"/>
  <c r="Z37" i="79"/>
  <c r="T37" i="79"/>
  <c r="P37" i="79"/>
  <c r="X37" i="79" s="1"/>
  <c r="L37" i="79"/>
  <c r="J37" i="79"/>
  <c r="H37" i="79"/>
  <c r="N37" i="79" s="1"/>
  <c r="D37" i="79"/>
  <c r="B37" i="79"/>
  <c r="Z36" i="79"/>
  <c r="X36" i="79"/>
  <c r="R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X32" i="79"/>
  <c r="T32" i="79"/>
  <c r="Z32" i="79" s="1"/>
  <c r="P32" i="79"/>
  <c r="L32" i="79"/>
  <c r="H32" i="79"/>
  <c r="N32" i="79" s="1"/>
  <c r="D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J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N24" i="79"/>
  <c r="L24" i="79"/>
  <c r="B24" i="79"/>
  <c r="X23" i="79"/>
  <c r="Z23" i="79" s="1"/>
  <c r="T23" i="79"/>
  <c r="P23" i="79"/>
  <c r="H23" i="79"/>
  <c r="D23" i="79"/>
  <c r="B23" i="79"/>
  <c r="T22" i="79" a="1"/>
  <c r="T22" i="79"/>
  <c r="R22" i="79"/>
  <c r="P22" i="79" a="1"/>
  <c r="P22" i="79"/>
  <c r="X22" i="79" s="1"/>
  <c r="H22" i="79" a="1"/>
  <c r="H22" i="79"/>
  <c r="D22" i="79" a="1"/>
  <c r="D22" i="79"/>
  <c r="L22" i="79" s="1"/>
  <c r="Z18" i="79"/>
  <c r="X18" i="79"/>
  <c r="N18" i="79"/>
  <c r="L18" i="79"/>
  <c r="B18" i="79"/>
  <c r="Z17" i="79"/>
  <c r="X17" i="79"/>
  <c r="N17" i="79"/>
  <c r="L17" i="79"/>
  <c r="B17" i="79"/>
  <c r="X16" i="79"/>
  <c r="T16" i="79"/>
  <c r="P16" i="79"/>
  <c r="H16" i="79"/>
  <c r="D16" i="79"/>
  <c r="T14" i="79"/>
  <c r="Z14" i="79" s="1"/>
  <c r="P14" i="79"/>
  <c r="N14" i="79"/>
  <c r="L14" i="79"/>
  <c r="H14" i="79"/>
  <c r="D14" i="79"/>
  <c r="B14" i="79"/>
  <c r="T13" i="79"/>
  <c r="P13" i="79"/>
  <c r="N13" i="79"/>
  <c r="H13" i="79"/>
  <c r="H12" i="79" s="1"/>
  <c r="J51" i="79" s="1"/>
  <c r="D13" i="79"/>
  <c r="L13" i="79" s="1"/>
  <c r="B13" i="79"/>
  <c r="P12" i="79"/>
  <c r="D6" i="79"/>
  <c r="D4" i="79"/>
  <c r="X32" i="78"/>
  <c r="Z32" i="78" s="1"/>
  <c r="N32" i="78"/>
  <c r="L32" i="78"/>
  <c r="T28" i="78"/>
  <c r="Z28" i="78" s="1"/>
  <c r="P28" i="78"/>
  <c r="H28" i="78"/>
  <c r="N28" i="78" s="1"/>
  <c r="D28" i="78"/>
  <c r="L28" i="78" s="1"/>
  <c r="Z26" i="78"/>
  <c r="X26" i="78"/>
  <c r="N26" i="78"/>
  <c r="L26" i="78"/>
  <c r="B26" i="78"/>
  <c r="Z25" i="78"/>
  <c r="T25" i="78"/>
  <c r="P25" i="78"/>
  <c r="X25" i="78" s="1"/>
  <c r="N25" i="78"/>
  <c r="J25" i="78"/>
  <c r="H25" i="78"/>
  <c r="D25" i="78"/>
  <c r="L25" i="78" s="1"/>
  <c r="B25" i="78"/>
  <c r="Z24" i="78"/>
  <c r="X24" i="78"/>
  <c r="R24" i="78"/>
  <c r="N24" i="78"/>
  <c r="L24" i="78"/>
  <c r="B24" i="78"/>
  <c r="Z23" i="78"/>
  <c r="V23" i="78"/>
  <c r="T23" i="78"/>
  <c r="P23" i="78"/>
  <c r="X23" i="78" s="1"/>
  <c r="N23" i="78"/>
  <c r="L23" i="78"/>
  <c r="J23" i="78"/>
  <c r="H23" i="78"/>
  <c r="D23" i="78"/>
  <c r="B23" i="78"/>
  <c r="V22" i="78"/>
  <c r="T22" i="78" a="1"/>
  <c r="T22" i="78" s="1"/>
  <c r="Z22" i="78" s="1"/>
  <c r="P22" i="78" a="1"/>
  <c r="P22" i="78"/>
  <c r="J22" i="78"/>
  <c r="H22" i="78" a="1"/>
  <c r="H22" i="78" s="1"/>
  <c r="N22" i="78" s="1"/>
  <c r="D22" i="78" a="1"/>
  <c r="D22" i="78"/>
  <c r="T20" i="78"/>
  <c r="X18" i="78"/>
  <c r="Z18" i="78" s="1"/>
  <c r="N18" i="78"/>
  <c r="L18" i="78"/>
  <c r="B18" i="78"/>
  <c r="Z17" i="78"/>
  <c r="X17" i="78"/>
  <c r="N17" i="78"/>
  <c r="L17" i="78"/>
  <c r="B17" i="78"/>
  <c r="T16" i="78"/>
  <c r="P16" i="78"/>
  <c r="X16" i="78" s="1"/>
  <c r="Z16" i="78" s="1"/>
  <c r="L16" i="78"/>
  <c r="H16" i="78"/>
  <c r="D16" i="78"/>
  <c r="T14" i="78"/>
  <c r="P14" i="78"/>
  <c r="P12" i="78" s="1"/>
  <c r="L14" i="78"/>
  <c r="N14" i="78" s="1"/>
  <c r="H14" i="78"/>
  <c r="D14" i="78"/>
  <c r="B14" i="78"/>
  <c r="Z13" i="78"/>
  <c r="T13" i="78"/>
  <c r="T12" i="78" s="1"/>
  <c r="P13" i="78"/>
  <c r="X13" i="78" s="1"/>
  <c r="N13" i="78"/>
  <c r="H13" i="78"/>
  <c r="D13" i="78"/>
  <c r="B13" i="78"/>
  <c r="X12" i="78"/>
  <c r="H12" i="78"/>
  <c r="J18" i="78" s="1"/>
  <c r="D6" i="78"/>
  <c r="D4" i="78"/>
  <c r="X112" i="77"/>
  <c r="Z112" i="77" s="1"/>
  <c r="L112" i="77"/>
  <c r="N112" i="77" s="1"/>
  <c r="Z108" i="77"/>
  <c r="X108" i="77"/>
  <c r="T108" i="77"/>
  <c r="P108" i="77"/>
  <c r="H108" i="77"/>
  <c r="N108" i="77" s="1"/>
  <c r="D108" i="77"/>
  <c r="L108" i="77" s="1"/>
  <c r="X106" i="77"/>
  <c r="Z106" i="77" s="1"/>
  <c r="L106" i="77"/>
  <c r="N106" i="77" s="1"/>
  <c r="B106" i="77"/>
  <c r="T105" i="77"/>
  <c r="P105" i="77"/>
  <c r="X105" i="77" s="1"/>
  <c r="H105" i="77"/>
  <c r="D105" i="77"/>
  <c r="L105" i="77" s="1"/>
  <c r="N105" i="77" s="1"/>
  <c r="B105" i="77"/>
  <c r="X104" i="77"/>
  <c r="Z104" i="77" s="1"/>
  <c r="N104" i="77"/>
  <c r="L104" i="77"/>
  <c r="B104" i="77"/>
  <c r="T103" i="77"/>
  <c r="P103" i="77"/>
  <c r="X103" i="77" s="1"/>
  <c r="Z103" i="77" s="1"/>
  <c r="N103" i="77"/>
  <c r="H103" i="77"/>
  <c r="D103" i="77"/>
  <c r="L103" i="77" s="1"/>
  <c r="B103" i="77"/>
  <c r="Z102" i="77"/>
  <c r="X102" i="77"/>
  <c r="L102" i="77"/>
  <c r="N102" i="77" s="1"/>
  <c r="B102" i="77"/>
  <c r="T101" i="77"/>
  <c r="P101" i="77"/>
  <c r="X101" i="77" s="1"/>
  <c r="Z101" i="77" s="1"/>
  <c r="L101" i="77"/>
  <c r="H101" i="77"/>
  <c r="D101" i="77"/>
  <c r="B101" i="77"/>
  <c r="Z100" i="77"/>
  <c r="X100" i="77"/>
  <c r="N100" i="77"/>
  <c r="L100" i="77"/>
  <c r="B100" i="77"/>
  <c r="X99" i="77"/>
  <c r="Z99" i="77" s="1"/>
  <c r="N99" i="77"/>
  <c r="L99" i="77"/>
  <c r="B99" i="77"/>
  <c r="Z98" i="77"/>
  <c r="X98" i="77"/>
  <c r="N98" i="77"/>
  <c r="L98" i="77"/>
  <c r="B98" i="77"/>
  <c r="Z97" i="77"/>
  <c r="X97" i="77"/>
  <c r="N97" i="77"/>
  <c r="L97" i="77"/>
  <c r="B97" i="77"/>
  <c r="X96" i="77"/>
  <c r="T96" i="77"/>
  <c r="P96" i="77"/>
  <c r="H96" i="77"/>
  <c r="D96" i="77"/>
  <c r="B96" i="77"/>
  <c r="X95" i="77"/>
  <c r="Z95" i="77" s="1"/>
  <c r="N95" i="77"/>
  <c r="L95" i="77"/>
  <c r="B95" i="77"/>
  <c r="Z94" i="77"/>
  <c r="X94" i="77"/>
  <c r="N94" i="77"/>
  <c r="L94" i="77"/>
  <c r="B94" i="77"/>
  <c r="Z93" i="77"/>
  <c r="T93" i="77"/>
  <c r="P93" i="77"/>
  <c r="X93" i="77" s="1"/>
  <c r="N93" i="77"/>
  <c r="L93" i="77"/>
  <c r="H93" i="77"/>
  <c r="D93" i="77"/>
  <c r="B93" i="77"/>
  <c r="Z92" i="77"/>
  <c r="X92" i="77"/>
  <c r="L92" i="77"/>
  <c r="N92" i="77" s="1"/>
  <c r="B92" i="77"/>
  <c r="X91" i="77"/>
  <c r="Z91" i="77" s="1"/>
  <c r="N91" i="77"/>
  <c r="L91" i="77"/>
  <c r="B91" i="77"/>
  <c r="X90" i="77"/>
  <c r="Z90" i="77" s="1"/>
  <c r="N90" i="77"/>
  <c r="L90" i="77"/>
  <c r="B90" i="77"/>
  <c r="Z89" i="77"/>
  <c r="T89" i="77"/>
  <c r="P89" i="77"/>
  <c r="X89" i="77" s="1"/>
  <c r="L89" i="77"/>
  <c r="N89" i="77" s="1"/>
  <c r="H89" i="77"/>
  <c r="D89" i="77"/>
  <c r="B89" i="77"/>
  <c r="Z88" i="77"/>
  <c r="X88" i="77"/>
  <c r="N88" i="77"/>
  <c r="L88" i="77"/>
  <c r="B88" i="77"/>
  <c r="X87" i="77"/>
  <c r="Z87" i="77" s="1"/>
  <c r="N87" i="77"/>
  <c r="L87" i="77"/>
  <c r="B87" i="77"/>
  <c r="Z86" i="77"/>
  <c r="X86" i="77"/>
  <c r="L86" i="77"/>
  <c r="N86" i="77" s="1"/>
  <c r="B86" i="77"/>
  <c r="Z85" i="77"/>
  <c r="T85" i="77"/>
  <c r="P85" i="77"/>
  <c r="X85" i="77" s="1"/>
  <c r="L85" i="77"/>
  <c r="N85" i="77" s="1"/>
  <c r="H85" i="77"/>
  <c r="D85" i="77"/>
  <c r="B85" i="77"/>
  <c r="Z84" i="77"/>
  <c r="X84" i="77"/>
  <c r="L84" i="77"/>
  <c r="N84" i="77" s="1"/>
  <c r="B84" i="77"/>
  <c r="X83" i="77"/>
  <c r="Z83" i="77" s="1"/>
  <c r="T83" i="77"/>
  <c r="P83" i="77"/>
  <c r="H83" i="77"/>
  <c r="D83" i="77"/>
  <c r="B83" i="77"/>
  <c r="Z82" i="77"/>
  <c r="X82" i="77"/>
  <c r="N82" i="77"/>
  <c r="L82" i="77"/>
  <c r="B82" i="77"/>
  <c r="T81" i="77"/>
  <c r="P81" i="77"/>
  <c r="N81" i="77"/>
  <c r="H81" i="77"/>
  <c r="D81" i="77"/>
  <c r="L81" i="77" s="1"/>
  <c r="B81" i="77"/>
  <c r="X80" i="77"/>
  <c r="Z80" i="77" s="1"/>
  <c r="N80" i="77"/>
  <c r="L80" i="77"/>
  <c r="B80" i="77"/>
  <c r="T79" i="77"/>
  <c r="P79" i="77"/>
  <c r="X79" i="77" s="1"/>
  <c r="Z79" i="77" s="1"/>
  <c r="N79" i="77"/>
  <c r="H79" i="77"/>
  <c r="D79" i="77"/>
  <c r="L79" i="77" s="1"/>
  <c r="B79" i="77"/>
  <c r="X78" i="77"/>
  <c r="Z78" i="77" s="1"/>
  <c r="L78" i="77"/>
  <c r="N78" i="77" s="1"/>
  <c r="B78" i="77"/>
  <c r="Z77" i="77"/>
  <c r="T77" i="77"/>
  <c r="P77" i="77"/>
  <c r="X77" i="77" s="1"/>
  <c r="L77" i="77"/>
  <c r="H77" i="77"/>
  <c r="D77" i="77"/>
  <c r="B77" i="77"/>
  <c r="Z76" i="77"/>
  <c r="X76" i="77"/>
  <c r="N76" i="77"/>
  <c r="L76" i="77"/>
  <c r="B76" i="77"/>
  <c r="X75" i="77"/>
  <c r="T75" i="77"/>
  <c r="Z75" i="77" s="1"/>
  <c r="P75" i="77"/>
  <c r="H75" i="77"/>
  <c r="D75" i="77"/>
  <c r="B75" i="77"/>
  <c r="Z74" i="77"/>
  <c r="X74" i="77"/>
  <c r="N74" i="77"/>
  <c r="L74" i="77"/>
  <c r="B74" i="77"/>
  <c r="T73" i="77"/>
  <c r="P73" i="77"/>
  <c r="N73" i="77"/>
  <c r="H73" i="77"/>
  <c r="D73" i="77"/>
  <c r="L73" i="77" s="1"/>
  <c r="B73" i="77"/>
  <c r="X72" i="77"/>
  <c r="Z72" i="77" s="1"/>
  <c r="N72" i="77"/>
  <c r="L72" i="77"/>
  <c r="B72" i="77"/>
  <c r="T71" i="77"/>
  <c r="P71" i="77"/>
  <c r="X71" i="77" s="1"/>
  <c r="Z71" i="77" s="1"/>
  <c r="N71" i="77"/>
  <c r="H71" i="77"/>
  <c r="D71" i="77"/>
  <c r="L71" i="77" s="1"/>
  <c r="B71" i="77"/>
  <c r="Z70" i="77"/>
  <c r="X70" i="77"/>
  <c r="L70" i="77"/>
  <c r="N70" i="77" s="1"/>
  <c r="B70" i="77"/>
  <c r="T69" i="77"/>
  <c r="P69" i="77"/>
  <c r="X69" i="77" s="1"/>
  <c r="Z69" i="77" s="1"/>
  <c r="L69" i="77"/>
  <c r="H69" i="77"/>
  <c r="D69" i="77"/>
  <c r="B69" i="77"/>
  <c r="Z68" i="77"/>
  <c r="X68" i="77"/>
  <c r="N68" i="77"/>
  <c r="L68" i="77"/>
  <c r="B68" i="77"/>
  <c r="X67" i="77"/>
  <c r="T67" i="77"/>
  <c r="Z67" i="77" s="1"/>
  <c r="P67" i="77"/>
  <c r="H67" i="77"/>
  <c r="D67" i="77"/>
  <c r="B67" i="77"/>
  <c r="X66" i="77"/>
  <c r="Z66" i="77" s="1"/>
  <c r="N66" i="77"/>
  <c r="L66" i="77"/>
  <c r="B66" i="77"/>
  <c r="Z65" i="77"/>
  <c r="X65" i="77"/>
  <c r="N65" i="77"/>
  <c r="L65" i="77"/>
  <c r="B65" i="77"/>
  <c r="Z64" i="77"/>
  <c r="X64" i="77"/>
  <c r="L64" i="77"/>
  <c r="N64" i="77" s="1"/>
  <c r="B64" i="77"/>
  <c r="X63" i="77"/>
  <c r="Z63" i="77" s="1"/>
  <c r="N63" i="77"/>
  <c r="L63" i="77"/>
  <c r="B63" i="77"/>
  <c r="X62" i="77"/>
  <c r="Z62" i="77" s="1"/>
  <c r="N62" i="77"/>
  <c r="L62" i="77"/>
  <c r="B62" i="77"/>
  <c r="Z61" i="77"/>
  <c r="X61" i="77"/>
  <c r="N61" i="77"/>
  <c r="L61" i="77"/>
  <c r="B61" i="77"/>
  <c r="X60" i="77"/>
  <c r="T60" i="77"/>
  <c r="P60" i="77"/>
  <c r="L60" i="77"/>
  <c r="H60" i="77"/>
  <c r="D60" i="77"/>
  <c r="B60" i="77"/>
  <c r="X59" i="77"/>
  <c r="Z59" i="77" s="1"/>
  <c r="N59" i="77"/>
  <c r="L59" i="77"/>
  <c r="B59" i="77"/>
  <c r="Z58" i="77"/>
  <c r="X58" i="77"/>
  <c r="L58" i="77"/>
  <c r="N58" i="77" s="1"/>
  <c r="B58" i="77"/>
  <c r="Z57" i="77"/>
  <c r="X57" i="77"/>
  <c r="N57" i="77"/>
  <c r="L57" i="77"/>
  <c r="B57" i="77"/>
  <c r="X56" i="77"/>
  <c r="Z56" i="77" s="1"/>
  <c r="N56" i="77"/>
  <c r="L56" i="77"/>
  <c r="B56" i="77"/>
  <c r="Z55" i="77"/>
  <c r="X55" i="77"/>
  <c r="L55" i="77"/>
  <c r="N55" i="77" s="1"/>
  <c r="B55" i="77"/>
  <c r="X54" i="77"/>
  <c r="Z54" i="77" s="1"/>
  <c r="N54" i="77"/>
  <c r="L54" i="77"/>
  <c r="B54" i="77"/>
  <c r="Z53" i="77"/>
  <c r="X53" i="77"/>
  <c r="N53" i="77"/>
  <c r="L53" i="77"/>
  <c r="B53" i="77"/>
  <c r="Z52" i="77"/>
  <c r="X52" i="77"/>
  <c r="L52" i="77"/>
  <c r="N52" i="77" s="1"/>
  <c r="B52" i="77"/>
  <c r="X51" i="77"/>
  <c r="T51" i="77"/>
  <c r="P51" i="77"/>
  <c r="H51" i="77"/>
  <c r="D51" i="77"/>
  <c r="B51" i="77"/>
  <c r="T50" i="77" a="1"/>
  <c r="T50" i="77"/>
  <c r="P50" i="77" a="1"/>
  <c r="P50" i="77"/>
  <c r="H50" i="77" a="1"/>
  <c r="H50" i="77"/>
  <c r="D50" i="77" a="1"/>
  <c r="D50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L44" i="77"/>
  <c r="N44" i="77" s="1"/>
  <c r="B44" i="77"/>
  <c r="Z43" i="77"/>
  <c r="X43" i="77"/>
  <c r="L43" i="77"/>
  <c r="N43" i="77" s="1"/>
  <c r="B43" i="77"/>
  <c r="X42" i="77"/>
  <c r="Z42" i="77" s="1"/>
  <c r="N42" i="77"/>
  <c r="L42" i="77"/>
  <c r="B42" i="77"/>
  <c r="Z41" i="77"/>
  <c r="X41" i="77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X38" i="77"/>
  <c r="Z38" i="77" s="1"/>
  <c r="T38" i="77"/>
  <c r="P38" i="77"/>
  <c r="H38" i="77"/>
  <c r="D38" i="77"/>
  <c r="L38" i="77" s="1"/>
  <c r="Z36" i="77"/>
  <c r="X36" i="77"/>
  <c r="T36" i="77"/>
  <c r="P36" i="77"/>
  <c r="N36" i="77"/>
  <c r="H36" i="77"/>
  <c r="D36" i="77"/>
  <c r="L36" i="77" s="1"/>
  <c r="B36" i="77"/>
  <c r="T35" i="77"/>
  <c r="P35" i="77"/>
  <c r="X35" i="77" s="1"/>
  <c r="Z35" i="77" s="1"/>
  <c r="H35" i="77"/>
  <c r="D35" i="77"/>
  <c r="B35" i="77"/>
  <c r="T34" i="77"/>
  <c r="P34" i="77"/>
  <c r="N34" i="77"/>
  <c r="L34" i="77"/>
  <c r="H34" i="77"/>
  <c r="D34" i="77"/>
  <c r="B34" i="77"/>
  <c r="T33" i="77"/>
  <c r="P33" i="77"/>
  <c r="N33" i="77"/>
  <c r="H33" i="77"/>
  <c r="L33" i="77" s="1"/>
  <c r="D33" i="77"/>
  <c r="B33" i="77"/>
  <c r="T32" i="77"/>
  <c r="P32" i="77"/>
  <c r="X32" i="77" s="1"/>
  <c r="Z32" i="77" s="1"/>
  <c r="L32" i="77"/>
  <c r="N32" i="77" s="1"/>
  <c r="H32" i="77"/>
  <c r="D32" i="77"/>
  <c r="B32" i="77"/>
  <c r="Z31" i="77"/>
  <c r="T31" i="77"/>
  <c r="X31" i="77" s="1"/>
  <c r="P31" i="77"/>
  <c r="H31" i="77"/>
  <c r="D31" i="77"/>
  <c r="L31" i="77" s="1"/>
  <c r="N31" i="77" s="1"/>
  <c r="B31" i="77"/>
  <c r="X30" i="77"/>
  <c r="Z30" i="77" s="1"/>
  <c r="T30" i="77"/>
  <c r="P30" i="77"/>
  <c r="H30" i="77"/>
  <c r="N30" i="77" s="1"/>
  <c r="D30" i="77"/>
  <c r="B30" i="77"/>
  <c r="Z29" i="77"/>
  <c r="T29" i="77"/>
  <c r="X29" i="77" s="1"/>
  <c r="P29" i="77"/>
  <c r="L29" i="77"/>
  <c r="H29" i="77"/>
  <c r="N29" i="77" s="1"/>
  <c r="D29" i="77"/>
  <c r="B29" i="77"/>
  <c r="Z28" i="77"/>
  <c r="X28" i="77"/>
  <c r="T28" i="77"/>
  <c r="P28" i="77"/>
  <c r="N28" i="77"/>
  <c r="H28" i="77"/>
  <c r="D28" i="77"/>
  <c r="L28" i="77" s="1"/>
  <c r="B28" i="77"/>
  <c r="Z27" i="77"/>
  <c r="T27" i="77"/>
  <c r="P27" i="77"/>
  <c r="X27" i="77" s="1"/>
  <c r="N27" i="77"/>
  <c r="H27" i="77"/>
  <c r="L27" i="77" s="1"/>
  <c r="D27" i="77"/>
  <c r="B27" i="77"/>
  <c r="T26" i="77"/>
  <c r="P26" i="77"/>
  <c r="X26" i="77" s="1"/>
  <c r="N26" i="77"/>
  <c r="L26" i="77"/>
  <c r="H26" i="77"/>
  <c r="D26" i="77"/>
  <c r="B26" i="77"/>
  <c r="T25" i="77"/>
  <c r="P25" i="77"/>
  <c r="H25" i="77"/>
  <c r="D25" i="77"/>
  <c r="B25" i="77"/>
  <c r="T24" i="77"/>
  <c r="P24" i="77"/>
  <c r="X24" i="77" s="1"/>
  <c r="Z24" i="77" s="1"/>
  <c r="L24" i="77"/>
  <c r="N24" i="77" s="1"/>
  <c r="H24" i="77"/>
  <c r="D24" i="77"/>
  <c r="B24" i="77"/>
  <c r="Z23" i="77"/>
  <c r="T23" i="77"/>
  <c r="X23" i="77" s="1"/>
  <c r="P23" i="77"/>
  <c r="N23" i="77"/>
  <c r="H23" i="77"/>
  <c r="D23" i="77"/>
  <c r="L23" i="77" s="1"/>
  <c r="B23" i="77"/>
  <c r="T22" i="77"/>
  <c r="P22" i="77"/>
  <c r="X22" i="77" s="1"/>
  <c r="Z22" i="77" s="1"/>
  <c r="H22" i="77"/>
  <c r="N22" i="77" s="1"/>
  <c r="D22" i="77"/>
  <c r="B22" i="77"/>
  <c r="Z21" i="77"/>
  <c r="T21" i="77"/>
  <c r="X21" i="77" s="1"/>
  <c r="P21" i="77"/>
  <c r="L21" i="77"/>
  <c r="H21" i="77"/>
  <c r="D21" i="77"/>
  <c r="B21" i="77"/>
  <c r="X20" i="77"/>
  <c r="Z20" i="77" s="1"/>
  <c r="T20" i="77"/>
  <c r="P20" i="77"/>
  <c r="H20" i="77"/>
  <c r="D20" i="77"/>
  <c r="L20" i="77" s="1"/>
  <c r="N20" i="77" s="1"/>
  <c r="B20" i="77"/>
  <c r="Z19" i="77"/>
  <c r="T19" i="77"/>
  <c r="P19" i="77"/>
  <c r="X19" i="77" s="1"/>
  <c r="H19" i="77"/>
  <c r="L19" i="77" s="1"/>
  <c r="D19" i="77"/>
  <c r="B19" i="77"/>
  <c r="T18" i="77"/>
  <c r="P18" i="77"/>
  <c r="L18" i="77"/>
  <c r="N18" i="77" s="1"/>
  <c r="H18" i="77"/>
  <c r="D18" i="77"/>
  <c r="B18" i="77"/>
  <c r="T17" i="77"/>
  <c r="P17" i="77"/>
  <c r="H17" i="77"/>
  <c r="D17" i="77"/>
  <c r="B17" i="77"/>
  <c r="T16" i="77"/>
  <c r="P16" i="77"/>
  <c r="N16" i="77"/>
  <c r="L16" i="77"/>
  <c r="H16" i="77"/>
  <c r="D16" i="77"/>
  <c r="B16" i="77"/>
  <c r="X15" i="77"/>
  <c r="T15" i="77"/>
  <c r="P15" i="77"/>
  <c r="N15" i="77"/>
  <c r="H15" i="77"/>
  <c r="D15" i="77"/>
  <c r="L15" i="77" s="1"/>
  <c r="B15" i="77"/>
  <c r="X14" i="77"/>
  <c r="Z14" i="77" s="1"/>
  <c r="T14" i="77"/>
  <c r="P14" i="77"/>
  <c r="H14" i="77"/>
  <c r="D14" i="77"/>
  <c r="B14" i="77"/>
  <c r="T13" i="77"/>
  <c r="P13" i="77"/>
  <c r="H13" i="77"/>
  <c r="D13" i="77"/>
  <c r="B13" i="77"/>
  <c r="H12" i="77"/>
  <c r="D6" i="77"/>
  <c r="D4" i="77"/>
  <c r="Z78" i="76"/>
  <c r="X78" i="76"/>
  <c r="N78" i="76"/>
  <c r="L78" i="76"/>
  <c r="F78" i="76"/>
  <c r="Z74" i="76"/>
  <c r="X74" i="76"/>
  <c r="T74" i="76"/>
  <c r="P74" i="76"/>
  <c r="J74" i="76"/>
  <c r="H74" i="76"/>
  <c r="N74" i="76" s="1"/>
  <c r="D74" i="76"/>
  <c r="L74" i="76" s="1"/>
  <c r="Z72" i="76"/>
  <c r="X72" i="76"/>
  <c r="N72" i="76"/>
  <c r="L72" i="76"/>
  <c r="F72" i="76"/>
  <c r="B72" i="76"/>
  <c r="T71" i="76"/>
  <c r="P71" i="76"/>
  <c r="N71" i="76"/>
  <c r="H71" i="76"/>
  <c r="D71" i="76"/>
  <c r="L71" i="76" s="1"/>
  <c r="B71" i="76"/>
  <c r="Z70" i="76"/>
  <c r="X70" i="76"/>
  <c r="N70" i="76"/>
  <c r="L70" i="76"/>
  <c r="B70" i="76"/>
  <c r="Z69" i="76"/>
  <c r="T69" i="76"/>
  <c r="P69" i="76"/>
  <c r="X69" i="76" s="1"/>
  <c r="N69" i="76"/>
  <c r="H69" i="76"/>
  <c r="D69" i="76"/>
  <c r="L69" i="76" s="1"/>
  <c r="B69" i="76"/>
  <c r="X68" i="76"/>
  <c r="Z68" i="76" s="1"/>
  <c r="N68" i="76"/>
  <c r="L68" i="76"/>
  <c r="B68" i="76"/>
  <c r="T67" i="76"/>
  <c r="P67" i="76"/>
  <c r="X67" i="76" s="1"/>
  <c r="Z67" i="76" s="1"/>
  <c r="L67" i="76"/>
  <c r="J67" i="76"/>
  <c r="H67" i="76"/>
  <c r="N67" i="76" s="1"/>
  <c r="D67" i="76"/>
  <c r="B67" i="76"/>
  <c r="Z66" i="76"/>
  <c r="X66" i="76"/>
  <c r="N66" i="76"/>
  <c r="L66" i="76"/>
  <c r="B66" i="76"/>
  <c r="Z65" i="76"/>
  <c r="X65" i="76"/>
  <c r="V65" i="76"/>
  <c r="N65" i="76"/>
  <c r="L65" i="76"/>
  <c r="B65" i="76"/>
  <c r="Z64" i="76"/>
  <c r="X64" i="76"/>
  <c r="N64" i="76"/>
  <c r="L64" i="76"/>
  <c r="B64" i="76"/>
  <c r="Z63" i="76"/>
  <c r="X63" i="76"/>
  <c r="N63" i="76"/>
  <c r="L63" i="76"/>
  <c r="F63" i="76"/>
  <c r="B63" i="76"/>
  <c r="X62" i="76"/>
  <c r="Z62" i="76" s="1"/>
  <c r="N62" i="76"/>
  <c r="L62" i="76"/>
  <c r="B62" i="76"/>
  <c r="Z61" i="76"/>
  <c r="T61" i="76"/>
  <c r="P61" i="76"/>
  <c r="X61" i="76" s="1"/>
  <c r="N61" i="76"/>
  <c r="H61" i="76"/>
  <c r="D61" i="76"/>
  <c r="L61" i="76" s="1"/>
  <c r="B61" i="76"/>
  <c r="Z60" i="76"/>
  <c r="X60" i="76"/>
  <c r="N60" i="76"/>
  <c r="L60" i="76"/>
  <c r="B60" i="76"/>
  <c r="Z59" i="76"/>
  <c r="X59" i="76"/>
  <c r="V59" i="76"/>
  <c r="N59" i="76"/>
  <c r="L59" i="76"/>
  <c r="F59" i="76"/>
  <c r="B59" i="76"/>
  <c r="X58" i="76"/>
  <c r="Z58" i="76" s="1"/>
  <c r="N58" i="76"/>
  <c r="L58" i="76"/>
  <c r="J58" i="76"/>
  <c r="F58" i="76"/>
  <c r="B58" i="76"/>
  <c r="Z57" i="76"/>
  <c r="X57" i="76"/>
  <c r="N57" i="76"/>
  <c r="L57" i="76"/>
  <c r="B57" i="76"/>
  <c r="T56" i="76"/>
  <c r="P56" i="76"/>
  <c r="X56" i="76" s="1"/>
  <c r="Z56" i="76" s="1"/>
  <c r="L56" i="76"/>
  <c r="N56" i="76" s="1"/>
  <c r="H56" i="76"/>
  <c r="D56" i="76"/>
  <c r="B56" i="76"/>
  <c r="Z55" i="76"/>
  <c r="X55" i="76"/>
  <c r="L55" i="76"/>
  <c r="N55" i="76" s="1"/>
  <c r="B55" i="76"/>
  <c r="X54" i="76"/>
  <c r="Z54" i="76" s="1"/>
  <c r="N54" i="76"/>
  <c r="L54" i="76"/>
  <c r="J54" i="76"/>
  <c r="B54" i="76"/>
  <c r="T53" i="76"/>
  <c r="P53" i="76"/>
  <c r="X53" i="76" s="1"/>
  <c r="Z53" i="76" s="1"/>
  <c r="N53" i="76"/>
  <c r="J53" i="76"/>
  <c r="H53" i="76"/>
  <c r="D53" i="76"/>
  <c r="L53" i="76" s="1"/>
  <c r="B53" i="76"/>
  <c r="X52" i="76"/>
  <c r="Z52" i="76" s="1"/>
  <c r="N52" i="76"/>
  <c r="L52" i="76"/>
  <c r="B52" i="76"/>
  <c r="V51" i="76"/>
  <c r="T51" i="76"/>
  <c r="P51" i="76"/>
  <c r="X51" i="76" s="1"/>
  <c r="Z51" i="76" s="1"/>
  <c r="L51" i="76"/>
  <c r="H51" i="76"/>
  <c r="N51" i="76" s="1"/>
  <c r="F51" i="76"/>
  <c r="D51" i="76"/>
  <c r="B51" i="76"/>
  <c r="Z50" i="76"/>
  <c r="X50" i="76"/>
  <c r="L50" i="76"/>
  <c r="N50" i="76" s="1"/>
  <c r="B50" i="76"/>
  <c r="X49" i="76"/>
  <c r="V49" i="76"/>
  <c r="T49" i="76"/>
  <c r="Z49" i="76" s="1"/>
  <c r="P49" i="76"/>
  <c r="H49" i="76"/>
  <c r="F49" i="76"/>
  <c r="D49" i="76"/>
  <c r="B49" i="76"/>
  <c r="Z48" i="76"/>
  <c r="X48" i="76"/>
  <c r="N48" i="76"/>
  <c r="L48" i="76"/>
  <c r="B48" i="76"/>
  <c r="T47" i="76"/>
  <c r="P47" i="76"/>
  <c r="N47" i="76"/>
  <c r="H47" i="76"/>
  <c r="D47" i="76"/>
  <c r="L47" i="76" s="1"/>
  <c r="B47" i="76"/>
  <c r="X46" i="76"/>
  <c r="Z46" i="76" s="1"/>
  <c r="N46" i="76"/>
  <c r="L46" i="76"/>
  <c r="J46" i="76"/>
  <c r="B46" i="76"/>
  <c r="T45" i="76"/>
  <c r="P45" i="76"/>
  <c r="X45" i="76" s="1"/>
  <c r="Z45" i="76" s="1"/>
  <c r="N45" i="76"/>
  <c r="H45" i="76"/>
  <c r="D45" i="76"/>
  <c r="L45" i="76" s="1"/>
  <c r="B45" i="76"/>
  <c r="Z44" i="76"/>
  <c r="X44" i="76"/>
  <c r="N44" i="76"/>
  <c r="L44" i="76"/>
  <c r="B44" i="76"/>
  <c r="Z43" i="76"/>
  <c r="X43" i="76"/>
  <c r="L43" i="76"/>
  <c r="N43" i="76" s="1"/>
  <c r="F43" i="76"/>
  <c r="B43" i="76"/>
  <c r="X42" i="76"/>
  <c r="Z42" i="76" s="1"/>
  <c r="T42" i="76"/>
  <c r="P42" i="76"/>
  <c r="N42" i="76"/>
  <c r="L42" i="76"/>
  <c r="H42" i="76"/>
  <c r="D42" i="76"/>
  <c r="B42" i="76"/>
  <c r="Z41" i="76"/>
  <c r="X41" i="76"/>
  <c r="N41" i="76"/>
  <c r="L41" i="76"/>
  <c r="B41" i="76"/>
  <c r="Z40" i="76"/>
  <c r="X40" i="76"/>
  <c r="T40" i="76"/>
  <c r="P40" i="76"/>
  <c r="H40" i="76"/>
  <c r="N40" i="76" s="1"/>
  <c r="D40" i="76"/>
  <c r="B40" i="76"/>
  <c r="Z39" i="76"/>
  <c r="X39" i="76"/>
  <c r="N39" i="76"/>
  <c r="L39" i="76"/>
  <c r="B39" i="76"/>
  <c r="T38" i="76"/>
  <c r="Z38" i="76" s="1"/>
  <c r="P38" i="76"/>
  <c r="X38" i="76" s="1"/>
  <c r="N38" i="76"/>
  <c r="H38" i="76"/>
  <c r="D38" i="76"/>
  <c r="L38" i="76" s="1"/>
  <c r="B38" i="76"/>
  <c r="Z37" i="76"/>
  <c r="X37" i="76"/>
  <c r="N37" i="76"/>
  <c r="L37" i="76"/>
  <c r="J37" i="76"/>
  <c r="B37" i="76"/>
  <c r="Z36" i="76"/>
  <c r="T36" i="76"/>
  <c r="P36" i="76"/>
  <c r="X36" i="76" s="1"/>
  <c r="N36" i="76"/>
  <c r="L36" i="76"/>
  <c r="H36" i="76"/>
  <c r="D36" i="76"/>
  <c r="B36" i="76"/>
  <c r="Z35" i="76"/>
  <c r="X35" i="76"/>
  <c r="V35" i="76"/>
  <c r="N35" i="76"/>
  <c r="L35" i="76"/>
  <c r="F35" i="76"/>
  <c r="B35" i="76"/>
  <c r="Z34" i="76"/>
  <c r="X34" i="76"/>
  <c r="N34" i="76"/>
  <c r="L34" i="76"/>
  <c r="J34" i="76"/>
  <c r="B34" i="76"/>
  <c r="Z33" i="76"/>
  <c r="X33" i="76"/>
  <c r="N33" i="76"/>
  <c r="L33" i="76"/>
  <c r="J33" i="76"/>
  <c r="B33" i="76"/>
  <c r="T32" i="76"/>
  <c r="P32" i="76"/>
  <c r="X32" i="76" s="1"/>
  <c r="Z32" i="76" s="1"/>
  <c r="N32" i="76"/>
  <c r="L32" i="76"/>
  <c r="H32" i="76"/>
  <c r="D32" i="76"/>
  <c r="B32" i="76"/>
  <c r="Z31" i="76"/>
  <c r="X31" i="76"/>
  <c r="N31" i="76"/>
  <c r="L31" i="76"/>
  <c r="B31" i="76"/>
  <c r="X30" i="76"/>
  <c r="Z30" i="76" s="1"/>
  <c r="N30" i="76"/>
  <c r="L30" i="76"/>
  <c r="F30" i="76"/>
  <c r="B30" i="76"/>
  <c r="Z29" i="76"/>
  <c r="X29" i="76"/>
  <c r="N29" i="76"/>
  <c r="L29" i="76"/>
  <c r="J29" i="76"/>
  <c r="B29" i="76"/>
  <c r="Z28" i="76"/>
  <c r="X28" i="76"/>
  <c r="N28" i="76"/>
  <c r="L28" i="76"/>
  <c r="F28" i="76"/>
  <c r="B28" i="76"/>
  <c r="Z27" i="76"/>
  <c r="X27" i="76"/>
  <c r="N27" i="76"/>
  <c r="L27" i="76"/>
  <c r="J27" i="76"/>
  <c r="B27" i="76"/>
  <c r="Z26" i="76"/>
  <c r="X26" i="76"/>
  <c r="N26" i="76"/>
  <c r="L26" i="76"/>
  <c r="B26" i="76"/>
  <c r="Z25" i="76"/>
  <c r="X25" i="76"/>
  <c r="V25" i="76"/>
  <c r="N25" i="76"/>
  <c r="L25" i="76"/>
  <c r="B25" i="76"/>
  <c r="X24" i="76"/>
  <c r="Z24" i="76" s="1"/>
  <c r="N24" i="76"/>
  <c r="L24" i="76"/>
  <c r="B24" i="76"/>
  <c r="T23" i="76"/>
  <c r="P23" i="76"/>
  <c r="X23" i="76" s="1"/>
  <c r="Z23" i="76" s="1"/>
  <c r="L23" i="76"/>
  <c r="H23" i="76"/>
  <c r="N23" i="76" s="1"/>
  <c r="F23" i="76"/>
  <c r="D23" i="76"/>
  <c r="B23" i="76"/>
  <c r="V22" i="76"/>
  <c r="T22" i="76" a="1"/>
  <c r="T22" i="76" s="1"/>
  <c r="P22" i="76" a="1"/>
  <c r="P22" i="76" s="1"/>
  <c r="H22" i="76" a="1"/>
  <c r="H22" i="76" s="1"/>
  <c r="N22" i="76" s="1"/>
  <c r="D22" i="76" a="1"/>
  <c r="D22" i="76" s="1"/>
  <c r="L22" i="76" s="1"/>
  <c r="T20" i="76"/>
  <c r="X18" i="76"/>
  <c r="Z18" i="76" s="1"/>
  <c r="N18" i="76"/>
  <c r="L18" i="76"/>
  <c r="J18" i="76"/>
  <c r="F18" i="76"/>
  <c r="B18" i="76"/>
  <c r="Z17" i="76"/>
  <c r="X17" i="76"/>
  <c r="N17" i="76"/>
  <c r="L17" i="76"/>
  <c r="J17" i="76"/>
  <c r="B17" i="76"/>
  <c r="T16" i="76"/>
  <c r="P16" i="76"/>
  <c r="X16" i="76" s="1"/>
  <c r="Z16" i="76" s="1"/>
  <c r="N16" i="76"/>
  <c r="L16" i="76"/>
  <c r="H16" i="76"/>
  <c r="F16" i="76"/>
  <c r="D16" i="76"/>
  <c r="Z14" i="76"/>
  <c r="T14" i="76"/>
  <c r="P14" i="76"/>
  <c r="X14" i="76" s="1"/>
  <c r="H14" i="76"/>
  <c r="N14" i="76" s="1"/>
  <c r="D14" i="76"/>
  <c r="L14" i="76" s="1"/>
  <c r="B14" i="76"/>
  <c r="T13" i="76"/>
  <c r="T12" i="76" s="1"/>
  <c r="V67" i="76" s="1"/>
  <c r="P13" i="76"/>
  <c r="L13" i="76"/>
  <c r="H13" i="76"/>
  <c r="N13" i="76" s="1"/>
  <c r="D13" i="76"/>
  <c r="B13" i="76"/>
  <c r="H12" i="76"/>
  <c r="J57" i="76" s="1"/>
  <c r="D12" i="76"/>
  <c r="F54" i="76" s="1"/>
  <c r="D6" i="76"/>
  <c r="D4" i="76"/>
  <c r="Z31" i="75"/>
  <c r="X31" i="75"/>
  <c r="N31" i="75"/>
  <c r="L31" i="75"/>
  <c r="Z27" i="75"/>
  <c r="T27" i="75"/>
  <c r="X27" i="75" s="1"/>
  <c r="P27" i="75"/>
  <c r="N27" i="75"/>
  <c r="H27" i="75"/>
  <c r="D27" i="75"/>
  <c r="L27" i="75" s="1"/>
  <c r="Z25" i="75"/>
  <c r="T25" i="75"/>
  <c r="P25" i="75"/>
  <c r="X25" i="75" s="1"/>
  <c r="N25" i="75"/>
  <c r="L25" i="75"/>
  <c r="H25" i="75"/>
  <c r="D25" i="75"/>
  <c r="Z21" i="75"/>
  <c r="X21" i="75"/>
  <c r="L21" i="75"/>
  <c r="N21" i="75" s="1"/>
  <c r="B21" i="75"/>
  <c r="X20" i="75"/>
  <c r="Z20" i="75" s="1"/>
  <c r="N20" i="75"/>
  <c r="L20" i="75"/>
  <c r="B20" i="75"/>
  <c r="Z19" i="75"/>
  <c r="X19" i="75"/>
  <c r="N19" i="75"/>
  <c r="L19" i="75"/>
  <c r="B19" i="75"/>
  <c r="T18" i="75"/>
  <c r="P18" i="75"/>
  <c r="X18" i="75" s="1"/>
  <c r="H18" i="75"/>
  <c r="D18" i="75"/>
  <c r="Z16" i="75"/>
  <c r="X16" i="75"/>
  <c r="T16" i="75"/>
  <c r="P16" i="75"/>
  <c r="H16" i="75"/>
  <c r="D16" i="75"/>
  <c r="B16" i="75"/>
  <c r="Z15" i="75"/>
  <c r="T15" i="75"/>
  <c r="X15" i="75" s="1"/>
  <c r="P15" i="75"/>
  <c r="H15" i="75"/>
  <c r="D15" i="75"/>
  <c r="L15" i="75" s="1"/>
  <c r="N15" i="75" s="1"/>
  <c r="B15" i="75"/>
  <c r="X14" i="75"/>
  <c r="Z14" i="75" s="1"/>
  <c r="T14" i="75"/>
  <c r="P14" i="75"/>
  <c r="H14" i="75"/>
  <c r="D14" i="75"/>
  <c r="L14" i="75" s="1"/>
  <c r="N14" i="75" s="1"/>
  <c r="B14" i="75"/>
  <c r="T13" i="75"/>
  <c r="P13" i="75"/>
  <c r="H13" i="75"/>
  <c r="D13" i="75"/>
  <c r="B13" i="75"/>
  <c r="D6" i="75"/>
  <c r="D4" i="75"/>
  <c r="V51" i="74"/>
  <c r="J51" i="74"/>
  <c r="Z46" i="74"/>
  <c r="X46" i="74"/>
  <c r="N46" i="74"/>
  <c r="L46" i="74"/>
  <c r="V44" i="74"/>
  <c r="J44" i="74"/>
  <c r="X42" i="74"/>
  <c r="T42" i="74"/>
  <c r="Z42" i="74" s="1"/>
  <c r="P42" i="74"/>
  <c r="N42" i="74"/>
  <c r="H42" i="74"/>
  <c r="D42" i="74"/>
  <c r="L42" i="74" s="1"/>
  <c r="Z40" i="74"/>
  <c r="X40" i="74"/>
  <c r="V40" i="74"/>
  <c r="L40" i="74"/>
  <c r="N40" i="74" s="1"/>
  <c r="B40" i="74"/>
  <c r="X39" i="74"/>
  <c r="Z39" i="74" s="1"/>
  <c r="T39" i="74"/>
  <c r="P39" i="74"/>
  <c r="J39" i="74"/>
  <c r="H39" i="74"/>
  <c r="D39" i="74"/>
  <c r="B39" i="74"/>
  <c r="X38" i="74"/>
  <c r="Z38" i="74" s="1"/>
  <c r="N38" i="74"/>
  <c r="L38" i="74"/>
  <c r="B38" i="74"/>
  <c r="X37" i="74"/>
  <c r="Z37" i="74" s="1"/>
  <c r="T37" i="74"/>
  <c r="P37" i="74"/>
  <c r="J37" i="74"/>
  <c r="H37" i="74"/>
  <c r="N37" i="74" s="1"/>
  <c r="F37" i="74"/>
  <c r="D37" i="74"/>
  <c r="B37" i="74"/>
  <c r="X36" i="74"/>
  <c r="Z36" i="74" s="1"/>
  <c r="R36" i="74"/>
  <c r="N36" i="74"/>
  <c r="L36" i="74"/>
  <c r="J36" i="74"/>
  <c r="F36" i="74"/>
  <c r="B36" i="74"/>
  <c r="V35" i="74"/>
  <c r="T35" i="74"/>
  <c r="P35" i="74"/>
  <c r="X35" i="74" s="1"/>
  <c r="N35" i="74"/>
  <c r="J35" i="74"/>
  <c r="H35" i="74"/>
  <c r="D35" i="74"/>
  <c r="L35" i="74" s="1"/>
  <c r="B35" i="74"/>
  <c r="X34" i="74"/>
  <c r="Z34" i="74" s="1"/>
  <c r="N34" i="74"/>
  <c r="L34" i="74"/>
  <c r="J34" i="74"/>
  <c r="F34" i="74"/>
  <c r="B34" i="74"/>
  <c r="Z33" i="74"/>
  <c r="X33" i="74"/>
  <c r="V33" i="74"/>
  <c r="N33" i="74"/>
  <c r="L33" i="74"/>
  <c r="J33" i="74"/>
  <c r="F33" i="74"/>
  <c r="B33" i="74"/>
  <c r="T32" i="74"/>
  <c r="P32" i="74"/>
  <c r="H32" i="74"/>
  <c r="N32" i="74" s="1"/>
  <c r="D32" i="74"/>
  <c r="L32" i="74" s="1"/>
  <c r="B32" i="74"/>
  <c r="Z31" i="74"/>
  <c r="X31" i="74"/>
  <c r="V31" i="74"/>
  <c r="N31" i="74"/>
  <c r="L31" i="74"/>
  <c r="J31" i="74"/>
  <c r="F31" i="74"/>
  <c r="B31" i="74"/>
  <c r="T30" i="74"/>
  <c r="X30" i="74" s="1"/>
  <c r="Z30" i="74" s="1"/>
  <c r="P30" i="74"/>
  <c r="J30" i="74"/>
  <c r="H30" i="74"/>
  <c r="N30" i="74" s="1"/>
  <c r="D30" i="74"/>
  <c r="L30" i="74" s="1"/>
  <c r="B30" i="74"/>
  <c r="Z29" i="74"/>
  <c r="X29" i="74"/>
  <c r="N29" i="74"/>
  <c r="L29" i="74"/>
  <c r="J29" i="74"/>
  <c r="B29" i="74"/>
  <c r="T28" i="74"/>
  <c r="Z28" i="74" s="1"/>
  <c r="P28" i="74"/>
  <c r="X28" i="74" s="1"/>
  <c r="J28" i="74"/>
  <c r="H28" i="74"/>
  <c r="F28" i="74"/>
  <c r="D28" i="74"/>
  <c r="L28" i="74" s="1"/>
  <c r="B28" i="74"/>
  <c r="Z27" i="74"/>
  <c r="X27" i="74"/>
  <c r="N27" i="74"/>
  <c r="L27" i="74"/>
  <c r="J27" i="74"/>
  <c r="B27" i="74"/>
  <c r="X26" i="74"/>
  <c r="V26" i="74"/>
  <c r="T26" i="74"/>
  <c r="P26" i="74"/>
  <c r="H26" i="74"/>
  <c r="N26" i="74" s="1"/>
  <c r="D26" i="74"/>
  <c r="L26" i="74" s="1"/>
  <c r="B26" i="74"/>
  <c r="Z25" i="74"/>
  <c r="X25" i="74"/>
  <c r="V25" i="74"/>
  <c r="N25" i="74"/>
  <c r="L25" i="74"/>
  <c r="J25" i="74"/>
  <c r="F25" i="74"/>
  <c r="B25" i="74"/>
  <c r="X24" i="74"/>
  <c r="Z24" i="74" s="1"/>
  <c r="N24" i="74"/>
  <c r="L24" i="74"/>
  <c r="J24" i="74"/>
  <c r="B24" i="74"/>
  <c r="Z23" i="74"/>
  <c r="X23" i="74"/>
  <c r="V23" i="74"/>
  <c r="N23" i="74"/>
  <c r="L23" i="74"/>
  <c r="J23" i="74"/>
  <c r="B23" i="74"/>
  <c r="X22" i="74"/>
  <c r="Z22" i="74" s="1"/>
  <c r="N22" i="74"/>
  <c r="L22" i="74"/>
  <c r="F22" i="74"/>
  <c r="B22" i="74"/>
  <c r="X21" i="74"/>
  <c r="Z21" i="74" s="1"/>
  <c r="R21" i="74"/>
  <c r="N21" i="74"/>
  <c r="L21" i="74"/>
  <c r="J21" i="74"/>
  <c r="B21" i="74"/>
  <c r="T20" i="74"/>
  <c r="P20" i="74"/>
  <c r="J20" i="74"/>
  <c r="H20" i="74"/>
  <c r="N20" i="74" s="1"/>
  <c r="F20" i="74"/>
  <c r="D20" i="74"/>
  <c r="L20" i="74" s="1"/>
  <c r="B20" i="74"/>
  <c r="V19" i="74"/>
  <c r="T19" i="74" a="1"/>
  <c r="T19" i="74" s="1"/>
  <c r="P19" i="74" a="1"/>
  <c r="P19" i="74" s="1"/>
  <c r="J19" i="74"/>
  <c r="H19" i="74" a="1"/>
  <c r="H19" i="74" s="1"/>
  <c r="F19" i="74"/>
  <c r="D19" i="74" a="1"/>
  <c r="D19" i="74" s="1"/>
  <c r="V17" i="74"/>
  <c r="T17" i="74"/>
  <c r="P17" i="74"/>
  <c r="J17" i="74"/>
  <c r="F17" i="74"/>
  <c r="X15" i="74"/>
  <c r="Z15" i="74" s="1"/>
  <c r="N15" i="74"/>
  <c r="L15" i="74"/>
  <c r="J15" i="74"/>
  <c r="F15" i="74"/>
  <c r="B15" i="74"/>
  <c r="T14" i="74"/>
  <c r="P14" i="74"/>
  <c r="X14" i="74" s="1"/>
  <c r="Z14" i="74" s="1"/>
  <c r="N14" i="74"/>
  <c r="J14" i="74"/>
  <c r="H14" i="74"/>
  <c r="D14" i="74"/>
  <c r="L14" i="74" s="1"/>
  <c r="X12" i="74"/>
  <c r="T12" i="74"/>
  <c r="P12" i="74"/>
  <c r="N12" i="74"/>
  <c r="L12" i="74"/>
  <c r="H12" i="74"/>
  <c r="J48" i="74" s="1"/>
  <c r="D12" i="74"/>
  <c r="F39" i="74" s="1"/>
  <c r="D6" i="74"/>
  <c r="D4" i="74"/>
  <c r="X78" i="73"/>
  <c r="Z78" i="73" s="1"/>
  <c r="L78" i="73"/>
  <c r="N78" i="73" s="1"/>
  <c r="F78" i="73"/>
  <c r="T74" i="73"/>
  <c r="Z74" i="73" s="1"/>
  <c r="P74" i="73"/>
  <c r="N74" i="73"/>
  <c r="L74" i="73"/>
  <c r="H74" i="73"/>
  <c r="D74" i="73"/>
  <c r="X72" i="73"/>
  <c r="Z72" i="73" s="1"/>
  <c r="L72" i="73"/>
  <c r="N72" i="73" s="1"/>
  <c r="B72" i="73"/>
  <c r="Z71" i="73"/>
  <c r="X71" i="73"/>
  <c r="T71" i="73"/>
  <c r="P71" i="73"/>
  <c r="N71" i="73"/>
  <c r="H71" i="73"/>
  <c r="L71" i="73" s="1"/>
  <c r="D71" i="73"/>
  <c r="B71" i="73"/>
  <c r="Z70" i="73"/>
  <c r="X70" i="73"/>
  <c r="N70" i="73"/>
  <c r="L70" i="73"/>
  <c r="B70" i="73"/>
  <c r="T69" i="73"/>
  <c r="Z69" i="73" s="1"/>
  <c r="P69" i="73"/>
  <c r="H69" i="73"/>
  <c r="N69" i="73" s="1"/>
  <c r="D69" i="73"/>
  <c r="B69" i="73"/>
  <c r="X68" i="73"/>
  <c r="Z68" i="73" s="1"/>
  <c r="N68" i="73"/>
  <c r="L68" i="73"/>
  <c r="B68" i="73"/>
  <c r="T67" i="73"/>
  <c r="P67" i="73"/>
  <c r="X67" i="73" s="1"/>
  <c r="Z67" i="73" s="1"/>
  <c r="H67" i="73"/>
  <c r="D67" i="73"/>
  <c r="L67" i="73" s="1"/>
  <c r="N67" i="73" s="1"/>
  <c r="B67" i="73"/>
  <c r="X66" i="73"/>
  <c r="Z66" i="73" s="1"/>
  <c r="N66" i="73"/>
  <c r="L66" i="73"/>
  <c r="B66" i="73"/>
  <c r="Z65" i="73"/>
  <c r="X65" i="73"/>
  <c r="N65" i="73"/>
  <c r="L65" i="73"/>
  <c r="B65" i="73"/>
  <c r="Z64" i="73"/>
  <c r="X64" i="73"/>
  <c r="N64" i="73"/>
  <c r="L64" i="73"/>
  <c r="F64" i="73"/>
  <c r="B64" i="73"/>
  <c r="Z63" i="73"/>
  <c r="X63" i="73"/>
  <c r="N63" i="73"/>
  <c r="L63" i="73"/>
  <c r="B63" i="73"/>
  <c r="Z62" i="73"/>
  <c r="X62" i="73"/>
  <c r="N62" i="73"/>
  <c r="L62" i="73"/>
  <c r="B62" i="73"/>
  <c r="T61" i="73"/>
  <c r="P61" i="73"/>
  <c r="N61" i="73"/>
  <c r="H61" i="73"/>
  <c r="D61" i="73"/>
  <c r="L61" i="73" s="1"/>
  <c r="B61" i="73"/>
  <c r="X60" i="73"/>
  <c r="Z60" i="73" s="1"/>
  <c r="N60" i="73"/>
  <c r="L60" i="73"/>
  <c r="F60" i="73"/>
  <c r="B60" i="73"/>
  <c r="Z59" i="73"/>
  <c r="X59" i="73"/>
  <c r="N59" i="73"/>
  <c r="L59" i="73"/>
  <c r="B59" i="73"/>
  <c r="T58" i="73"/>
  <c r="P58" i="73"/>
  <c r="X58" i="73" s="1"/>
  <c r="Z58" i="73" s="1"/>
  <c r="L58" i="73"/>
  <c r="H58" i="73"/>
  <c r="N58" i="73" s="1"/>
  <c r="D58" i="73"/>
  <c r="B58" i="73"/>
  <c r="Z57" i="73"/>
  <c r="X57" i="73"/>
  <c r="N57" i="73"/>
  <c r="L57" i="73"/>
  <c r="B57" i="73"/>
  <c r="X56" i="73"/>
  <c r="T56" i="73"/>
  <c r="P56" i="73"/>
  <c r="H56" i="73"/>
  <c r="D56" i="73"/>
  <c r="B56" i="73"/>
  <c r="X55" i="73"/>
  <c r="Z55" i="73" s="1"/>
  <c r="N55" i="73"/>
  <c r="L55" i="73"/>
  <c r="B55" i="73"/>
  <c r="X54" i="73"/>
  <c r="Z54" i="73" s="1"/>
  <c r="N54" i="73"/>
  <c r="L54" i="73"/>
  <c r="B54" i="73"/>
  <c r="T53" i="73"/>
  <c r="P53" i="73"/>
  <c r="X53" i="73" s="1"/>
  <c r="Z53" i="73" s="1"/>
  <c r="L53" i="73"/>
  <c r="H53" i="73"/>
  <c r="N53" i="73" s="1"/>
  <c r="D53" i="73"/>
  <c r="B53" i="73"/>
  <c r="Z52" i="73"/>
  <c r="X52" i="73"/>
  <c r="N52" i="73"/>
  <c r="L52" i="73"/>
  <c r="B52" i="73"/>
  <c r="X51" i="73"/>
  <c r="T51" i="73"/>
  <c r="Z51" i="73" s="1"/>
  <c r="P51" i="73"/>
  <c r="H51" i="73"/>
  <c r="N51" i="73" s="1"/>
  <c r="F51" i="73"/>
  <c r="D51" i="73"/>
  <c r="B51" i="73"/>
  <c r="X50" i="73"/>
  <c r="Z50" i="73" s="1"/>
  <c r="L50" i="73"/>
  <c r="N50" i="73" s="1"/>
  <c r="F50" i="73"/>
  <c r="B50" i="73"/>
  <c r="T49" i="73"/>
  <c r="P49" i="73"/>
  <c r="H49" i="73"/>
  <c r="D49" i="73"/>
  <c r="L49" i="73" s="1"/>
  <c r="N49" i="73" s="1"/>
  <c r="B49" i="73"/>
  <c r="X48" i="73"/>
  <c r="Z48" i="73" s="1"/>
  <c r="N48" i="73"/>
  <c r="L48" i="73"/>
  <c r="B48" i="73"/>
  <c r="T47" i="73"/>
  <c r="P47" i="73"/>
  <c r="X47" i="73" s="1"/>
  <c r="Z47" i="73" s="1"/>
  <c r="H47" i="73"/>
  <c r="D47" i="73"/>
  <c r="L47" i="73" s="1"/>
  <c r="N47" i="73" s="1"/>
  <c r="B47" i="73"/>
  <c r="X46" i="73"/>
  <c r="Z46" i="73" s="1"/>
  <c r="N46" i="73"/>
  <c r="L46" i="73"/>
  <c r="B46" i="73"/>
  <c r="Z45" i="73"/>
  <c r="T45" i="73"/>
  <c r="P45" i="73"/>
  <c r="X45" i="73" s="1"/>
  <c r="L45" i="73"/>
  <c r="H45" i="73"/>
  <c r="N45" i="73" s="1"/>
  <c r="D45" i="73"/>
  <c r="B45" i="73"/>
  <c r="Z44" i="73"/>
  <c r="X44" i="73"/>
  <c r="N44" i="73"/>
  <c r="L44" i="73"/>
  <c r="B44" i="73"/>
  <c r="X43" i="73"/>
  <c r="T43" i="73"/>
  <c r="Z43" i="73" s="1"/>
  <c r="P43" i="73"/>
  <c r="H43" i="73"/>
  <c r="N43" i="73" s="1"/>
  <c r="D43" i="73"/>
  <c r="B43" i="73"/>
  <c r="Z42" i="73"/>
  <c r="X42" i="73"/>
  <c r="N42" i="73"/>
  <c r="L42" i="73"/>
  <c r="F42" i="73"/>
  <c r="B42" i="73"/>
  <c r="Z41" i="73"/>
  <c r="X41" i="73"/>
  <c r="N41" i="73"/>
  <c r="L41" i="73"/>
  <c r="B41" i="73"/>
  <c r="Z40" i="73"/>
  <c r="X40" i="73"/>
  <c r="N40" i="73"/>
  <c r="L40" i="73"/>
  <c r="B40" i="73"/>
  <c r="X39" i="73"/>
  <c r="Z39" i="73" s="1"/>
  <c r="N39" i="73"/>
  <c r="L39" i="73"/>
  <c r="B39" i="73"/>
  <c r="Z38" i="73"/>
  <c r="X38" i="73"/>
  <c r="N38" i="73"/>
  <c r="L38" i="73"/>
  <c r="B38" i="73"/>
  <c r="Z37" i="73"/>
  <c r="X37" i="73"/>
  <c r="N37" i="73"/>
  <c r="L37" i="73"/>
  <c r="B37" i="73"/>
  <c r="X36" i="73"/>
  <c r="T36" i="73"/>
  <c r="Z36" i="73" s="1"/>
  <c r="P36" i="73"/>
  <c r="H36" i="73"/>
  <c r="N36" i="73" s="1"/>
  <c r="D36" i="73"/>
  <c r="B36" i="73"/>
  <c r="X35" i="73"/>
  <c r="Z35" i="73" s="1"/>
  <c r="N35" i="73"/>
  <c r="L35" i="73"/>
  <c r="B35" i="73"/>
  <c r="X34" i="73"/>
  <c r="Z34" i="73" s="1"/>
  <c r="N34" i="73"/>
  <c r="L34" i="73"/>
  <c r="B34" i="73"/>
  <c r="Z33" i="73"/>
  <c r="X33" i="73"/>
  <c r="N33" i="73"/>
  <c r="L33" i="73"/>
  <c r="B33" i="73"/>
  <c r="Z32" i="73"/>
  <c r="X32" i="73"/>
  <c r="N32" i="73"/>
  <c r="L32" i="73"/>
  <c r="B32" i="73"/>
  <c r="Z31" i="73"/>
  <c r="X31" i="73"/>
  <c r="N31" i="73"/>
  <c r="L31" i="73"/>
  <c r="B31" i="73"/>
  <c r="X30" i="73"/>
  <c r="Z30" i="73" s="1"/>
  <c r="N30" i="73"/>
  <c r="L30" i="73"/>
  <c r="B30" i="73"/>
  <c r="Z29" i="73"/>
  <c r="X29" i="73"/>
  <c r="N29" i="73"/>
  <c r="L29" i="73"/>
  <c r="B29" i="73"/>
  <c r="Z28" i="73"/>
  <c r="X28" i="73"/>
  <c r="N28" i="73"/>
  <c r="L28" i="73"/>
  <c r="B28" i="73"/>
  <c r="X27" i="73"/>
  <c r="Z27" i="73" s="1"/>
  <c r="N27" i="73"/>
  <c r="L27" i="73"/>
  <c r="B27" i="73"/>
  <c r="X26" i="73"/>
  <c r="T26" i="73"/>
  <c r="P26" i="73"/>
  <c r="H26" i="73"/>
  <c r="N26" i="73" s="1"/>
  <c r="D26" i="73"/>
  <c r="B26" i="73"/>
  <c r="T25" i="73" a="1"/>
  <c r="T25" i="73"/>
  <c r="P25" i="73" a="1"/>
  <c r="P25" i="73" s="1"/>
  <c r="X25" i="73" s="1"/>
  <c r="H25" i="73" a="1"/>
  <c r="H25" i="73"/>
  <c r="D25" i="73" a="1"/>
  <c r="D25" i="73" s="1"/>
  <c r="L25" i="73" s="1"/>
  <c r="Z21" i="73"/>
  <c r="X21" i="73"/>
  <c r="N21" i="73"/>
  <c r="L21" i="73"/>
  <c r="B21" i="73"/>
  <c r="X20" i="73"/>
  <c r="Z20" i="73" s="1"/>
  <c r="N20" i="73"/>
  <c r="L20" i="73"/>
  <c r="B20" i="73"/>
  <c r="Z19" i="73"/>
  <c r="X19" i="73"/>
  <c r="N19" i="73"/>
  <c r="L19" i="73"/>
  <c r="B19" i="73"/>
  <c r="T18" i="73"/>
  <c r="P18" i="73"/>
  <c r="X18" i="73" s="1"/>
  <c r="Z18" i="73" s="1"/>
  <c r="L18" i="73"/>
  <c r="H18" i="73"/>
  <c r="N18" i="73" s="1"/>
  <c r="D18" i="73"/>
  <c r="X16" i="73"/>
  <c r="Z16" i="73" s="1"/>
  <c r="T16" i="73"/>
  <c r="P16" i="73"/>
  <c r="L16" i="73"/>
  <c r="H16" i="73"/>
  <c r="N16" i="73" s="1"/>
  <c r="D16" i="73"/>
  <c r="B16" i="73"/>
  <c r="Z15" i="73"/>
  <c r="T15" i="73"/>
  <c r="P15" i="73"/>
  <c r="N15" i="73"/>
  <c r="H15" i="73"/>
  <c r="D15" i="73"/>
  <c r="L15" i="73" s="1"/>
  <c r="B15" i="73"/>
  <c r="X14" i="73"/>
  <c r="T14" i="73"/>
  <c r="Z14" i="73" s="1"/>
  <c r="P14" i="73"/>
  <c r="H14" i="73"/>
  <c r="N14" i="73" s="1"/>
  <c r="D14" i="73"/>
  <c r="L14" i="73" s="1"/>
  <c r="B14" i="73"/>
  <c r="Z13" i="73"/>
  <c r="T13" i="73"/>
  <c r="P13" i="73"/>
  <c r="X13" i="73" s="1"/>
  <c r="H13" i="73"/>
  <c r="D13" i="73"/>
  <c r="B13" i="73"/>
  <c r="D12" i="73"/>
  <c r="F69" i="73" s="1"/>
  <c r="D6" i="73"/>
  <c r="D4" i="73"/>
  <c r="X98" i="71"/>
  <c r="Z98" i="71" s="1"/>
  <c r="N98" i="71"/>
  <c r="L98" i="71"/>
  <c r="T94" i="71"/>
  <c r="P94" i="71"/>
  <c r="H94" i="71"/>
  <c r="D94" i="71"/>
  <c r="L94" i="71" s="1"/>
  <c r="N94" i="71" s="1"/>
  <c r="B94" i="71"/>
  <c r="Z93" i="71"/>
  <c r="T93" i="71"/>
  <c r="P93" i="71"/>
  <c r="X93" i="71" s="1"/>
  <c r="N93" i="71"/>
  <c r="H93" i="71"/>
  <c r="D93" i="71"/>
  <c r="L93" i="71" s="1"/>
  <c r="B93" i="71"/>
  <c r="X92" i="71"/>
  <c r="Z92" i="71" s="1"/>
  <c r="T92" i="71"/>
  <c r="P92" i="71"/>
  <c r="H92" i="71"/>
  <c r="D92" i="71"/>
  <c r="B92" i="71"/>
  <c r="T91" i="71"/>
  <c r="Z89" i="71"/>
  <c r="X89" i="71"/>
  <c r="N89" i="71"/>
  <c r="L89" i="71"/>
  <c r="B89" i="71"/>
  <c r="X88" i="71"/>
  <c r="T88" i="71"/>
  <c r="Z88" i="71" s="1"/>
  <c r="P88" i="71"/>
  <c r="N88" i="71"/>
  <c r="H88" i="71"/>
  <c r="L88" i="71" s="1"/>
  <c r="D88" i="71"/>
  <c r="B88" i="71"/>
  <c r="X87" i="71"/>
  <c r="Z87" i="71" s="1"/>
  <c r="N87" i="71"/>
  <c r="L87" i="71"/>
  <c r="B87" i="71"/>
  <c r="X86" i="71"/>
  <c r="Z86" i="71" s="1"/>
  <c r="T86" i="71"/>
  <c r="P86" i="71"/>
  <c r="H86" i="71"/>
  <c r="D86" i="71"/>
  <c r="L86" i="71" s="1"/>
  <c r="B86" i="71"/>
  <c r="Z85" i="71"/>
  <c r="X85" i="71"/>
  <c r="N85" i="71"/>
  <c r="L85" i="71"/>
  <c r="B85" i="71"/>
  <c r="Z84" i="71"/>
  <c r="X84" i="71"/>
  <c r="L84" i="71"/>
  <c r="N84" i="71" s="1"/>
  <c r="B84" i="71"/>
  <c r="X83" i="71"/>
  <c r="Z83" i="71" s="1"/>
  <c r="N83" i="71"/>
  <c r="L83" i="71"/>
  <c r="B83" i="71"/>
  <c r="T82" i="71"/>
  <c r="X82" i="71" s="1"/>
  <c r="Z82" i="71" s="1"/>
  <c r="P82" i="71"/>
  <c r="H82" i="71"/>
  <c r="D82" i="71"/>
  <c r="L82" i="71" s="1"/>
  <c r="B82" i="71"/>
  <c r="Z81" i="71"/>
  <c r="X81" i="71"/>
  <c r="N81" i="71"/>
  <c r="L81" i="71"/>
  <c r="B81" i="71"/>
  <c r="T80" i="71"/>
  <c r="P80" i="71"/>
  <c r="H80" i="71"/>
  <c r="D80" i="71"/>
  <c r="L80" i="71" s="1"/>
  <c r="N80" i="71" s="1"/>
  <c r="B80" i="71"/>
  <c r="Z79" i="71"/>
  <c r="X79" i="71"/>
  <c r="N79" i="71"/>
  <c r="L79" i="71"/>
  <c r="B79" i="71"/>
  <c r="T78" i="71"/>
  <c r="P78" i="71"/>
  <c r="X78" i="71" s="1"/>
  <c r="Z78" i="71" s="1"/>
  <c r="L78" i="71"/>
  <c r="H78" i="71"/>
  <c r="N78" i="71" s="1"/>
  <c r="D78" i="71"/>
  <c r="B78" i="71"/>
  <c r="Z77" i="71"/>
  <c r="X77" i="71"/>
  <c r="N77" i="71"/>
  <c r="L77" i="71"/>
  <c r="B77" i="71"/>
  <c r="X76" i="71"/>
  <c r="Z76" i="71" s="1"/>
  <c r="N76" i="71"/>
  <c r="L76" i="71"/>
  <c r="B76" i="71"/>
  <c r="Z75" i="71"/>
  <c r="T75" i="71"/>
  <c r="P75" i="71"/>
  <c r="X75" i="71" s="1"/>
  <c r="N75" i="71"/>
  <c r="H75" i="71"/>
  <c r="D75" i="71"/>
  <c r="L75" i="71" s="1"/>
  <c r="B75" i="71"/>
  <c r="Z74" i="71"/>
  <c r="X74" i="71"/>
  <c r="N74" i="71"/>
  <c r="L74" i="71"/>
  <c r="B74" i="71"/>
  <c r="Z73" i="71"/>
  <c r="T73" i="71"/>
  <c r="P73" i="71"/>
  <c r="X73" i="71" s="1"/>
  <c r="N73" i="71"/>
  <c r="L73" i="71"/>
  <c r="H73" i="71"/>
  <c r="D73" i="71"/>
  <c r="B73" i="71"/>
  <c r="Z72" i="71"/>
  <c r="X72" i="71"/>
  <c r="L72" i="71"/>
  <c r="N72" i="71" s="1"/>
  <c r="B72" i="71"/>
  <c r="X71" i="71"/>
  <c r="Z71" i="71" s="1"/>
  <c r="T71" i="71"/>
  <c r="P71" i="71"/>
  <c r="H71" i="71"/>
  <c r="D71" i="71"/>
  <c r="B71" i="71"/>
  <c r="X70" i="71"/>
  <c r="Z70" i="71" s="1"/>
  <c r="N70" i="71"/>
  <c r="L70" i="71"/>
  <c r="B70" i="71"/>
  <c r="T69" i="71"/>
  <c r="P69" i="71"/>
  <c r="N69" i="71"/>
  <c r="H69" i="71"/>
  <c r="D69" i="71"/>
  <c r="L69" i="71" s="1"/>
  <c r="B69" i="71"/>
  <c r="Z68" i="71"/>
  <c r="X68" i="71"/>
  <c r="N68" i="71"/>
  <c r="L68" i="71"/>
  <c r="B68" i="71"/>
  <c r="Z67" i="71"/>
  <c r="X67" i="71"/>
  <c r="L67" i="71"/>
  <c r="N67" i="71" s="1"/>
  <c r="B67" i="71"/>
  <c r="Z66" i="71"/>
  <c r="X66" i="71"/>
  <c r="N66" i="71"/>
  <c r="L66" i="71"/>
  <c r="B66" i="71"/>
  <c r="Z65" i="71"/>
  <c r="X65" i="71"/>
  <c r="N65" i="71"/>
  <c r="L65" i="71"/>
  <c r="B65" i="71"/>
  <c r="Z64" i="71"/>
  <c r="X64" i="71"/>
  <c r="L64" i="71"/>
  <c r="N64" i="71" s="1"/>
  <c r="B64" i="71"/>
  <c r="X63" i="71"/>
  <c r="T63" i="71"/>
  <c r="P63" i="71"/>
  <c r="H63" i="71"/>
  <c r="D63" i="71"/>
  <c r="B63" i="71"/>
  <c r="Z62" i="71"/>
  <c r="X62" i="71"/>
  <c r="L62" i="71"/>
  <c r="N62" i="71" s="1"/>
  <c r="B62" i="71"/>
  <c r="Z61" i="71"/>
  <c r="X61" i="71"/>
  <c r="N61" i="71"/>
  <c r="L61" i="71"/>
  <c r="B61" i="71"/>
  <c r="Z60" i="71"/>
  <c r="X60" i="71"/>
  <c r="L60" i="71"/>
  <c r="N60" i="71" s="1"/>
  <c r="B60" i="71"/>
  <c r="X59" i="71"/>
  <c r="Z59" i="71" s="1"/>
  <c r="N59" i="71"/>
  <c r="L59" i="71"/>
  <c r="B59" i="71"/>
  <c r="Z58" i="71"/>
  <c r="X58" i="71"/>
  <c r="N58" i="71"/>
  <c r="L58" i="71"/>
  <c r="B58" i="71"/>
  <c r="Z57" i="71"/>
  <c r="X57" i="71"/>
  <c r="N57" i="71"/>
  <c r="L57" i="71"/>
  <c r="B57" i="71"/>
  <c r="X56" i="71"/>
  <c r="Z56" i="71" s="1"/>
  <c r="N56" i="71"/>
  <c r="L56" i="71"/>
  <c r="B56" i="71"/>
  <c r="Z55" i="71"/>
  <c r="X55" i="71"/>
  <c r="L55" i="71"/>
  <c r="N55" i="71" s="1"/>
  <c r="B55" i="71"/>
  <c r="Z54" i="71"/>
  <c r="X54" i="71"/>
  <c r="L54" i="71"/>
  <c r="N54" i="71" s="1"/>
  <c r="B54" i="71"/>
  <c r="T53" i="71"/>
  <c r="P53" i="71"/>
  <c r="H53" i="71"/>
  <c r="D53" i="71"/>
  <c r="L53" i="71" s="1"/>
  <c r="N53" i="71" s="1"/>
  <c r="B53" i="71"/>
  <c r="T52" i="71" a="1"/>
  <c r="T52" i="71" s="1"/>
  <c r="P52" i="71" a="1"/>
  <c r="P52" i="71"/>
  <c r="X52" i="71" s="1"/>
  <c r="H52" i="71" a="1"/>
  <c r="H52" i="71" s="1"/>
  <c r="D52" i="71" a="1"/>
  <c r="D52" i="71" s="1"/>
  <c r="L52" i="71" s="1"/>
  <c r="Z48" i="71"/>
  <c r="X48" i="71"/>
  <c r="N48" i="71"/>
  <c r="L48" i="71"/>
  <c r="B48" i="71"/>
  <c r="X47" i="71"/>
  <c r="Z47" i="71" s="1"/>
  <c r="N47" i="71"/>
  <c r="L47" i="71"/>
  <c r="B47" i="71"/>
  <c r="X46" i="71"/>
  <c r="Z46" i="71" s="1"/>
  <c r="L46" i="71"/>
  <c r="N46" i="71" s="1"/>
  <c r="B46" i="71"/>
  <c r="Z45" i="71"/>
  <c r="X45" i="71"/>
  <c r="N45" i="71"/>
  <c r="L45" i="71"/>
  <c r="B45" i="71"/>
  <c r="Z44" i="71"/>
  <c r="X44" i="71"/>
  <c r="N44" i="71"/>
  <c r="L44" i="71"/>
  <c r="B44" i="71"/>
  <c r="Z43" i="71"/>
  <c r="X43" i="71"/>
  <c r="L43" i="71"/>
  <c r="N43" i="71" s="1"/>
  <c r="B43" i="71"/>
  <c r="X42" i="71"/>
  <c r="Z42" i="71" s="1"/>
  <c r="L42" i="71"/>
  <c r="N42" i="71" s="1"/>
  <c r="B42" i="71"/>
  <c r="Z41" i="71"/>
  <c r="X41" i="71"/>
  <c r="N41" i="71"/>
  <c r="L41" i="71"/>
  <c r="B41" i="71"/>
  <c r="Z40" i="71"/>
  <c r="X40" i="71"/>
  <c r="L40" i="71"/>
  <c r="N40" i="71" s="1"/>
  <c r="B40" i="71"/>
  <c r="X39" i="71"/>
  <c r="Z39" i="71" s="1"/>
  <c r="N39" i="71"/>
  <c r="L39" i="71"/>
  <c r="B39" i="71"/>
  <c r="Z38" i="71"/>
  <c r="X38" i="71"/>
  <c r="L38" i="71"/>
  <c r="N38" i="71" s="1"/>
  <c r="B38" i="71"/>
  <c r="Z37" i="71"/>
  <c r="X37" i="71"/>
  <c r="N37" i="71"/>
  <c r="L37" i="71"/>
  <c r="B37" i="71"/>
  <c r="Z36" i="71"/>
  <c r="X36" i="71"/>
  <c r="N36" i="71"/>
  <c r="L36" i="71"/>
  <c r="B36" i="71"/>
  <c r="Z35" i="71"/>
  <c r="T35" i="71"/>
  <c r="P35" i="71"/>
  <c r="X35" i="71" s="1"/>
  <c r="N35" i="71"/>
  <c r="H35" i="71"/>
  <c r="D35" i="71"/>
  <c r="L35" i="71" s="1"/>
  <c r="T33" i="71"/>
  <c r="Z33" i="71" s="1"/>
  <c r="P33" i="71"/>
  <c r="N33" i="71"/>
  <c r="H33" i="71"/>
  <c r="L33" i="71" s="1"/>
  <c r="D33" i="71"/>
  <c r="B33" i="71"/>
  <c r="T32" i="71"/>
  <c r="P32" i="71"/>
  <c r="X32" i="71" s="1"/>
  <c r="Z32" i="71" s="1"/>
  <c r="N32" i="71"/>
  <c r="L32" i="71"/>
  <c r="H32" i="71"/>
  <c r="D32" i="71"/>
  <c r="B32" i="71"/>
  <c r="T31" i="71"/>
  <c r="Z31" i="71" s="1"/>
  <c r="P31" i="71"/>
  <c r="X31" i="71" s="1"/>
  <c r="N31" i="71"/>
  <c r="H31" i="71"/>
  <c r="D31" i="71"/>
  <c r="L31" i="71" s="1"/>
  <c r="B31" i="71"/>
  <c r="X30" i="71"/>
  <c r="T30" i="71"/>
  <c r="Z30" i="71" s="1"/>
  <c r="P30" i="71"/>
  <c r="H30" i="71"/>
  <c r="D30" i="71"/>
  <c r="B30" i="71"/>
  <c r="Z29" i="71"/>
  <c r="T29" i="71"/>
  <c r="X29" i="71" s="1"/>
  <c r="P29" i="71"/>
  <c r="H29" i="71"/>
  <c r="D29" i="71"/>
  <c r="B29" i="71"/>
  <c r="X28" i="71"/>
  <c r="Z28" i="71" s="1"/>
  <c r="T28" i="71"/>
  <c r="P28" i="71"/>
  <c r="H28" i="71"/>
  <c r="D28" i="71"/>
  <c r="L28" i="71" s="1"/>
  <c r="N28" i="71" s="1"/>
  <c r="B28" i="71"/>
  <c r="T27" i="71"/>
  <c r="P27" i="71"/>
  <c r="X27" i="71" s="1"/>
  <c r="Z27" i="71" s="1"/>
  <c r="N27" i="71"/>
  <c r="H27" i="71"/>
  <c r="D27" i="71"/>
  <c r="L27" i="71" s="1"/>
  <c r="B27" i="71"/>
  <c r="T26" i="71"/>
  <c r="P26" i="71"/>
  <c r="L26" i="71"/>
  <c r="H26" i="71"/>
  <c r="N26" i="71" s="1"/>
  <c r="D26" i="71"/>
  <c r="B26" i="71"/>
  <c r="T25" i="71"/>
  <c r="Z25" i="71" s="1"/>
  <c r="P25" i="71"/>
  <c r="N25" i="71"/>
  <c r="H25" i="71"/>
  <c r="L25" i="71" s="1"/>
  <c r="D25" i="71"/>
  <c r="B25" i="71"/>
  <c r="T24" i="71"/>
  <c r="P24" i="71"/>
  <c r="X24" i="71" s="1"/>
  <c r="Z24" i="71" s="1"/>
  <c r="L24" i="71"/>
  <c r="N24" i="71" s="1"/>
  <c r="H24" i="71"/>
  <c r="D24" i="71"/>
  <c r="B24" i="71"/>
  <c r="T23" i="71"/>
  <c r="Z23" i="71" s="1"/>
  <c r="P23" i="71"/>
  <c r="X23" i="71" s="1"/>
  <c r="H23" i="71"/>
  <c r="D23" i="71"/>
  <c r="L23" i="71" s="1"/>
  <c r="N23" i="71" s="1"/>
  <c r="B23" i="71"/>
  <c r="X22" i="71"/>
  <c r="T22" i="71"/>
  <c r="P22" i="71"/>
  <c r="H22" i="71"/>
  <c r="D22" i="71"/>
  <c r="L22" i="71" s="1"/>
  <c r="B22" i="71"/>
  <c r="Z21" i="71"/>
  <c r="T21" i="71"/>
  <c r="X21" i="71" s="1"/>
  <c r="P21" i="71"/>
  <c r="L21" i="71"/>
  <c r="H21" i="71"/>
  <c r="D21" i="71"/>
  <c r="B21" i="71"/>
  <c r="X20" i="71"/>
  <c r="Z20" i="71" s="1"/>
  <c r="T20" i="71"/>
  <c r="P20" i="71"/>
  <c r="N20" i="71"/>
  <c r="L20" i="71"/>
  <c r="H20" i="71"/>
  <c r="D20" i="71"/>
  <c r="B20" i="71"/>
  <c r="Z19" i="71"/>
  <c r="T19" i="71"/>
  <c r="P19" i="71"/>
  <c r="X19" i="71" s="1"/>
  <c r="N19" i="71"/>
  <c r="H19" i="71"/>
  <c r="D19" i="71"/>
  <c r="B19" i="71"/>
  <c r="T18" i="71"/>
  <c r="P18" i="71"/>
  <c r="X18" i="71" s="1"/>
  <c r="L18" i="71"/>
  <c r="H18" i="71"/>
  <c r="D18" i="71"/>
  <c r="B18" i="71"/>
  <c r="T17" i="71"/>
  <c r="P17" i="71"/>
  <c r="N17" i="71"/>
  <c r="H17" i="71"/>
  <c r="L17" i="71" s="1"/>
  <c r="D17" i="71"/>
  <c r="B17" i="71"/>
  <c r="T16" i="71"/>
  <c r="P16" i="71"/>
  <c r="X16" i="71" s="1"/>
  <c r="Z16" i="71" s="1"/>
  <c r="L16" i="71"/>
  <c r="N16" i="71" s="1"/>
  <c r="H16" i="71"/>
  <c r="D16" i="71"/>
  <c r="B16" i="71"/>
  <c r="Z15" i="71"/>
  <c r="T15" i="71"/>
  <c r="P15" i="71"/>
  <c r="X15" i="71" s="1"/>
  <c r="H15" i="71"/>
  <c r="D15" i="71"/>
  <c r="L15" i="71" s="1"/>
  <c r="N15" i="71" s="1"/>
  <c r="B15" i="71"/>
  <c r="T14" i="71"/>
  <c r="P14" i="71"/>
  <c r="X14" i="71" s="1"/>
  <c r="H14" i="71"/>
  <c r="D14" i="71"/>
  <c r="L14" i="71" s="1"/>
  <c r="B14" i="71"/>
  <c r="T13" i="71"/>
  <c r="P13" i="71"/>
  <c r="L13" i="71"/>
  <c r="H13" i="71"/>
  <c r="D13" i="71"/>
  <c r="B13" i="71"/>
  <c r="D6" i="71"/>
  <c r="D4" i="71"/>
  <c r="Z81" i="70"/>
  <c r="X81" i="70"/>
  <c r="L81" i="70"/>
  <c r="N81" i="70" s="1"/>
  <c r="T77" i="70"/>
  <c r="P77" i="70"/>
  <c r="H77" i="70"/>
  <c r="D77" i="70"/>
  <c r="D76" i="70" s="1"/>
  <c r="L76" i="70" s="1"/>
  <c r="N76" i="70" s="1"/>
  <c r="B77" i="70"/>
  <c r="P76" i="70"/>
  <c r="H76" i="70"/>
  <c r="Z74" i="70"/>
  <c r="X74" i="70"/>
  <c r="N74" i="70"/>
  <c r="L74" i="70"/>
  <c r="B74" i="70"/>
  <c r="X73" i="70"/>
  <c r="Z73" i="70" s="1"/>
  <c r="T73" i="70"/>
  <c r="P73" i="70"/>
  <c r="H73" i="70"/>
  <c r="D73" i="70"/>
  <c r="B73" i="70"/>
  <c r="Z72" i="70"/>
  <c r="X72" i="70"/>
  <c r="N72" i="70"/>
  <c r="L72" i="70"/>
  <c r="B72" i="70"/>
  <c r="T71" i="70"/>
  <c r="X71" i="70" s="1"/>
  <c r="P71" i="70"/>
  <c r="H71" i="70"/>
  <c r="N71" i="70" s="1"/>
  <c r="D71" i="70"/>
  <c r="L71" i="70" s="1"/>
  <c r="B71" i="70"/>
  <c r="X70" i="70"/>
  <c r="Z70" i="70" s="1"/>
  <c r="N70" i="70"/>
  <c r="L70" i="70"/>
  <c r="B70" i="70"/>
  <c r="Z69" i="70"/>
  <c r="X69" i="70"/>
  <c r="L69" i="70"/>
  <c r="N69" i="70" s="1"/>
  <c r="B69" i="70"/>
  <c r="Z68" i="70"/>
  <c r="X68" i="70"/>
  <c r="N68" i="70"/>
  <c r="L68" i="70"/>
  <c r="B68" i="70"/>
  <c r="X67" i="70"/>
  <c r="Z67" i="70" s="1"/>
  <c r="N67" i="70"/>
  <c r="L67" i="70"/>
  <c r="B67" i="70"/>
  <c r="Z66" i="70"/>
  <c r="X66" i="70"/>
  <c r="N66" i="70"/>
  <c r="L66" i="70"/>
  <c r="B66" i="70"/>
  <c r="T65" i="70"/>
  <c r="P65" i="70"/>
  <c r="X65" i="70" s="1"/>
  <c r="Z65" i="70" s="1"/>
  <c r="H65" i="70"/>
  <c r="L65" i="70" s="1"/>
  <c r="D65" i="70"/>
  <c r="B65" i="70"/>
  <c r="X64" i="70"/>
  <c r="Z64" i="70" s="1"/>
  <c r="N64" i="70"/>
  <c r="L64" i="70"/>
  <c r="B64" i="70"/>
  <c r="T63" i="70"/>
  <c r="X63" i="70" s="1"/>
  <c r="Z63" i="70" s="1"/>
  <c r="P63" i="70"/>
  <c r="H63" i="70"/>
  <c r="D63" i="70"/>
  <c r="L63" i="70" s="1"/>
  <c r="N63" i="70" s="1"/>
  <c r="B63" i="70"/>
  <c r="Z62" i="70"/>
  <c r="X62" i="70"/>
  <c r="N62" i="70"/>
  <c r="L62" i="70"/>
  <c r="B62" i="70"/>
  <c r="X61" i="70"/>
  <c r="Z61" i="70" s="1"/>
  <c r="L61" i="70"/>
  <c r="N61" i="70" s="1"/>
  <c r="B61" i="70"/>
  <c r="X60" i="70"/>
  <c r="Z60" i="70" s="1"/>
  <c r="N60" i="70"/>
  <c r="L60" i="70"/>
  <c r="B60" i="70"/>
  <c r="Z59" i="70"/>
  <c r="T59" i="70"/>
  <c r="X59" i="70" s="1"/>
  <c r="P59" i="70"/>
  <c r="H59" i="70"/>
  <c r="D59" i="70"/>
  <c r="L59" i="70" s="1"/>
  <c r="N59" i="70" s="1"/>
  <c r="B59" i="70"/>
  <c r="Z58" i="70"/>
  <c r="X58" i="70"/>
  <c r="N58" i="70"/>
  <c r="L58" i="70"/>
  <c r="B58" i="70"/>
  <c r="Z57" i="70"/>
  <c r="T57" i="70"/>
  <c r="P57" i="70"/>
  <c r="X57" i="70" s="1"/>
  <c r="H57" i="70"/>
  <c r="N57" i="70" s="1"/>
  <c r="D57" i="70"/>
  <c r="L57" i="70" s="1"/>
  <c r="B57" i="70"/>
  <c r="Z56" i="70"/>
  <c r="X56" i="70"/>
  <c r="L56" i="70"/>
  <c r="N56" i="70" s="1"/>
  <c r="B56" i="70"/>
  <c r="Z55" i="70"/>
  <c r="X55" i="70"/>
  <c r="N55" i="70"/>
  <c r="L55" i="70"/>
  <c r="B55" i="70"/>
  <c r="T54" i="70"/>
  <c r="P54" i="70"/>
  <c r="N54" i="70"/>
  <c r="H54" i="70"/>
  <c r="D54" i="70"/>
  <c r="L54" i="70" s="1"/>
  <c r="B54" i="70"/>
  <c r="X53" i="70"/>
  <c r="Z53" i="70" s="1"/>
  <c r="L53" i="70"/>
  <c r="N53" i="70" s="1"/>
  <c r="B53" i="70"/>
  <c r="Z52" i="70"/>
  <c r="T52" i="70"/>
  <c r="P52" i="70"/>
  <c r="X52" i="70" s="1"/>
  <c r="H52" i="70"/>
  <c r="D52" i="70"/>
  <c r="L52" i="70" s="1"/>
  <c r="B52" i="70"/>
  <c r="Z51" i="70"/>
  <c r="X51" i="70"/>
  <c r="N51" i="70"/>
  <c r="L51" i="70"/>
  <c r="B51" i="70"/>
  <c r="T50" i="70"/>
  <c r="Z50" i="70" s="1"/>
  <c r="P50" i="70"/>
  <c r="X50" i="70" s="1"/>
  <c r="N50" i="70"/>
  <c r="L50" i="70"/>
  <c r="H50" i="70"/>
  <c r="D50" i="70"/>
  <c r="B50" i="70"/>
  <c r="X49" i="70"/>
  <c r="Z49" i="70" s="1"/>
  <c r="L49" i="70"/>
  <c r="N49" i="70" s="1"/>
  <c r="B49" i="70"/>
  <c r="X48" i="70"/>
  <c r="Z48" i="70" s="1"/>
  <c r="T48" i="70"/>
  <c r="P48" i="70"/>
  <c r="H48" i="70"/>
  <c r="D48" i="70"/>
  <c r="B48" i="70"/>
  <c r="Z47" i="70"/>
  <c r="X47" i="70"/>
  <c r="N47" i="70"/>
  <c r="L47" i="70"/>
  <c r="B47" i="70"/>
  <c r="T46" i="70"/>
  <c r="P46" i="70"/>
  <c r="N46" i="70"/>
  <c r="H46" i="70"/>
  <c r="D46" i="70"/>
  <c r="L46" i="70" s="1"/>
  <c r="B46" i="70"/>
  <c r="X45" i="70"/>
  <c r="Z45" i="70" s="1"/>
  <c r="L45" i="70"/>
  <c r="N45" i="70" s="1"/>
  <c r="B45" i="70"/>
  <c r="Z44" i="70"/>
  <c r="X44" i="70"/>
  <c r="N44" i="70"/>
  <c r="L44" i="70"/>
  <c r="B44" i="70"/>
  <c r="Z43" i="70"/>
  <c r="X43" i="70"/>
  <c r="N43" i="70"/>
  <c r="L43" i="70"/>
  <c r="B43" i="70"/>
  <c r="T42" i="70"/>
  <c r="P42" i="70"/>
  <c r="H42" i="70"/>
  <c r="D42" i="70"/>
  <c r="L42" i="70" s="1"/>
  <c r="N42" i="70" s="1"/>
  <c r="B42" i="70"/>
  <c r="X41" i="70"/>
  <c r="Z41" i="70" s="1"/>
  <c r="L41" i="70"/>
  <c r="N41" i="70" s="1"/>
  <c r="B41" i="70"/>
  <c r="Z40" i="70"/>
  <c r="X40" i="70"/>
  <c r="L40" i="70"/>
  <c r="N40" i="70" s="1"/>
  <c r="B40" i="70"/>
  <c r="Z39" i="70"/>
  <c r="X39" i="70"/>
  <c r="N39" i="70"/>
  <c r="L39" i="70"/>
  <c r="B39" i="70"/>
  <c r="X38" i="70"/>
  <c r="Z38" i="70" s="1"/>
  <c r="N38" i="70"/>
  <c r="L38" i="70"/>
  <c r="B38" i="70"/>
  <c r="X37" i="70"/>
  <c r="Z37" i="70" s="1"/>
  <c r="L37" i="70"/>
  <c r="N37" i="70" s="1"/>
  <c r="B37" i="70"/>
  <c r="X36" i="70"/>
  <c r="Z36" i="70" s="1"/>
  <c r="N36" i="70"/>
  <c r="L36" i="70"/>
  <c r="B36" i="70"/>
  <c r="Z35" i="70"/>
  <c r="X35" i="70"/>
  <c r="N35" i="70"/>
  <c r="L35" i="70"/>
  <c r="B35" i="70"/>
  <c r="Z34" i="70"/>
  <c r="X34" i="70"/>
  <c r="L34" i="70"/>
  <c r="N34" i="70" s="1"/>
  <c r="B34" i="70"/>
  <c r="X33" i="70"/>
  <c r="Z33" i="70" s="1"/>
  <c r="T33" i="70"/>
  <c r="P33" i="70"/>
  <c r="N33" i="70"/>
  <c r="H33" i="70"/>
  <c r="L33" i="70" s="1"/>
  <c r="D33" i="70"/>
  <c r="B33" i="70"/>
  <c r="X32" i="70"/>
  <c r="T32" i="70" a="1"/>
  <c r="T32" i="70"/>
  <c r="P32" i="70" a="1"/>
  <c r="P32" i="70"/>
  <c r="H32" i="70" a="1"/>
  <c r="H32" i="70"/>
  <c r="L32" i="70" s="1"/>
  <c r="D32" i="70" a="1"/>
  <c r="D32" i="70"/>
  <c r="Z28" i="70"/>
  <c r="X28" i="70"/>
  <c r="N28" i="70"/>
  <c r="L28" i="70"/>
  <c r="B28" i="70"/>
  <c r="T27" i="70"/>
  <c r="Z27" i="70" s="1"/>
  <c r="P27" i="70"/>
  <c r="X27" i="70" s="1"/>
  <c r="N27" i="70"/>
  <c r="H27" i="70"/>
  <c r="D27" i="70"/>
  <c r="L27" i="70" s="1"/>
  <c r="T25" i="70"/>
  <c r="P25" i="70"/>
  <c r="X25" i="70" s="1"/>
  <c r="Z25" i="70" s="1"/>
  <c r="N25" i="70"/>
  <c r="H25" i="70"/>
  <c r="D25" i="70"/>
  <c r="L25" i="70" s="1"/>
  <c r="B25" i="70"/>
  <c r="T24" i="70"/>
  <c r="P24" i="70"/>
  <c r="H24" i="70"/>
  <c r="N24" i="70" s="1"/>
  <c r="D24" i="70"/>
  <c r="L24" i="70" s="1"/>
  <c r="B24" i="70"/>
  <c r="X23" i="70"/>
  <c r="T23" i="70"/>
  <c r="Z23" i="70" s="1"/>
  <c r="P23" i="70"/>
  <c r="L23" i="70"/>
  <c r="H23" i="70"/>
  <c r="N23" i="70" s="1"/>
  <c r="D23" i="70"/>
  <c r="B23" i="70"/>
  <c r="Z22" i="70"/>
  <c r="X22" i="70"/>
  <c r="T22" i="70"/>
  <c r="P22" i="70"/>
  <c r="N22" i="70"/>
  <c r="L22" i="70"/>
  <c r="H22" i="70"/>
  <c r="D22" i="70"/>
  <c r="B22" i="70"/>
  <c r="T21" i="70"/>
  <c r="P21" i="70"/>
  <c r="X21" i="70" s="1"/>
  <c r="Z21" i="70" s="1"/>
  <c r="N21" i="70"/>
  <c r="H21" i="70"/>
  <c r="D21" i="70"/>
  <c r="L21" i="70" s="1"/>
  <c r="B21" i="70"/>
  <c r="T20" i="70"/>
  <c r="P20" i="70"/>
  <c r="X20" i="70" s="1"/>
  <c r="H20" i="70"/>
  <c r="N20" i="70" s="1"/>
  <c r="D20" i="70"/>
  <c r="L20" i="70" s="1"/>
  <c r="B20" i="70"/>
  <c r="X19" i="70"/>
  <c r="T19" i="70"/>
  <c r="P19" i="70"/>
  <c r="H19" i="70"/>
  <c r="D19" i="70"/>
  <c r="B19" i="70"/>
  <c r="Z18" i="70"/>
  <c r="X18" i="70"/>
  <c r="T18" i="70"/>
  <c r="P18" i="70"/>
  <c r="N18" i="70"/>
  <c r="L18" i="70"/>
  <c r="H18" i="70"/>
  <c r="D18" i="70"/>
  <c r="B18" i="70"/>
  <c r="T17" i="70"/>
  <c r="P17" i="70"/>
  <c r="N17" i="70"/>
  <c r="H17" i="70"/>
  <c r="D17" i="70"/>
  <c r="L17" i="70" s="1"/>
  <c r="B17" i="70"/>
  <c r="T16" i="70"/>
  <c r="P16" i="70"/>
  <c r="H16" i="70"/>
  <c r="D16" i="70"/>
  <c r="L16" i="70" s="1"/>
  <c r="B16" i="70"/>
  <c r="X15" i="70"/>
  <c r="T15" i="70"/>
  <c r="Z15" i="70" s="1"/>
  <c r="P15" i="70"/>
  <c r="L15" i="70"/>
  <c r="H15" i="70"/>
  <c r="D15" i="70"/>
  <c r="B15" i="70"/>
  <c r="X14" i="70"/>
  <c r="Z14" i="70" s="1"/>
  <c r="T14" i="70"/>
  <c r="P14" i="70"/>
  <c r="H14" i="70"/>
  <c r="D14" i="70"/>
  <c r="L14" i="70" s="1"/>
  <c r="N14" i="70" s="1"/>
  <c r="B14" i="70"/>
  <c r="T13" i="70"/>
  <c r="P13" i="70"/>
  <c r="X13" i="70" s="1"/>
  <c r="Z13" i="70" s="1"/>
  <c r="N13" i="70"/>
  <c r="H13" i="70"/>
  <c r="D13" i="70"/>
  <c r="L13" i="70" s="1"/>
  <c r="B13" i="70"/>
  <c r="D6" i="70"/>
  <c r="D4" i="70"/>
  <c r="Z149" i="69"/>
  <c r="X149" i="69"/>
  <c r="N149" i="69"/>
  <c r="L149" i="69"/>
  <c r="T145" i="69"/>
  <c r="P145" i="69"/>
  <c r="X145" i="69" s="1"/>
  <c r="Z145" i="69" s="1"/>
  <c r="H145" i="69"/>
  <c r="N145" i="69" s="1"/>
  <c r="D145" i="69"/>
  <c r="L145" i="69" s="1"/>
  <c r="B145" i="69"/>
  <c r="T144" i="69"/>
  <c r="P144" i="69"/>
  <c r="N144" i="69"/>
  <c r="H144" i="69"/>
  <c r="D144" i="69"/>
  <c r="B144" i="69"/>
  <c r="H143" i="69"/>
  <c r="X141" i="69"/>
  <c r="Z141" i="69" s="1"/>
  <c r="N141" i="69"/>
  <c r="L141" i="69"/>
  <c r="B141" i="69"/>
  <c r="X140" i="69"/>
  <c r="T140" i="69"/>
  <c r="P140" i="69"/>
  <c r="H140" i="69"/>
  <c r="N140" i="69" s="1"/>
  <c r="D140" i="69"/>
  <c r="B140" i="69"/>
  <c r="Z139" i="69"/>
  <c r="X139" i="69"/>
  <c r="N139" i="69"/>
  <c r="L139" i="69"/>
  <c r="B139" i="69"/>
  <c r="T138" i="69"/>
  <c r="Z138" i="69" s="1"/>
  <c r="P138" i="69"/>
  <c r="N138" i="69"/>
  <c r="H138" i="69"/>
  <c r="D138" i="69"/>
  <c r="L138" i="69" s="1"/>
  <c r="B138" i="69"/>
  <c r="Z137" i="69"/>
  <c r="X137" i="69"/>
  <c r="L137" i="69"/>
  <c r="N137" i="69" s="1"/>
  <c r="B137" i="69"/>
  <c r="T136" i="69"/>
  <c r="P136" i="69"/>
  <c r="X136" i="69" s="1"/>
  <c r="Z136" i="69" s="1"/>
  <c r="H136" i="69"/>
  <c r="D136" i="69"/>
  <c r="B136" i="69"/>
  <c r="Z135" i="69"/>
  <c r="X135" i="69"/>
  <c r="N135" i="69"/>
  <c r="L135" i="69"/>
  <c r="B135" i="69"/>
  <c r="Z134" i="69"/>
  <c r="X134" i="69"/>
  <c r="N134" i="69"/>
  <c r="L134" i="69"/>
  <c r="B134" i="69"/>
  <c r="Z133" i="69"/>
  <c r="X133" i="69"/>
  <c r="L133" i="69"/>
  <c r="N133" i="69" s="1"/>
  <c r="B133" i="69"/>
  <c r="X132" i="69"/>
  <c r="Z132" i="69" s="1"/>
  <c r="N132" i="69"/>
  <c r="L132" i="69"/>
  <c r="B132" i="69"/>
  <c r="Z131" i="69"/>
  <c r="X131" i="69"/>
  <c r="N131" i="69"/>
  <c r="L131" i="69"/>
  <c r="B131" i="69"/>
  <c r="T130" i="69"/>
  <c r="P130" i="69"/>
  <c r="X130" i="69" s="1"/>
  <c r="H130" i="69"/>
  <c r="D130" i="69"/>
  <c r="L130" i="69" s="1"/>
  <c r="N130" i="69" s="1"/>
  <c r="B130" i="69"/>
  <c r="Z129" i="69"/>
  <c r="X129" i="69"/>
  <c r="N129" i="69"/>
  <c r="L129" i="69"/>
  <c r="B129" i="69"/>
  <c r="X128" i="69"/>
  <c r="Z128" i="69" s="1"/>
  <c r="N128" i="69"/>
  <c r="L128" i="69"/>
  <c r="B128" i="69"/>
  <c r="T127" i="69"/>
  <c r="P127" i="69"/>
  <c r="X127" i="69" s="1"/>
  <c r="Z127" i="69" s="1"/>
  <c r="N127" i="69"/>
  <c r="L127" i="69"/>
  <c r="H127" i="69"/>
  <c r="D127" i="69"/>
  <c r="B127" i="69"/>
  <c r="Z126" i="69"/>
  <c r="X126" i="69"/>
  <c r="N126" i="69"/>
  <c r="L126" i="69"/>
  <c r="B126" i="69"/>
  <c r="Z125" i="69"/>
  <c r="X125" i="69"/>
  <c r="N125" i="69"/>
  <c r="L125" i="69"/>
  <c r="B125" i="69"/>
  <c r="T124" i="69"/>
  <c r="P124" i="69"/>
  <c r="X124" i="69" s="1"/>
  <c r="Z124" i="69" s="1"/>
  <c r="H124" i="69"/>
  <c r="N124" i="69" s="1"/>
  <c r="D124" i="69"/>
  <c r="B124" i="69"/>
  <c r="Z123" i="69"/>
  <c r="X123" i="69"/>
  <c r="N123" i="69"/>
  <c r="L123" i="69"/>
  <c r="B123" i="69"/>
  <c r="Z122" i="69"/>
  <c r="X122" i="69"/>
  <c r="N122" i="69"/>
  <c r="L122" i="69"/>
  <c r="B122" i="69"/>
  <c r="Z121" i="69"/>
  <c r="T121" i="69"/>
  <c r="P121" i="69"/>
  <c r="X121" i="69" s="1"/>
  <c r="N121" i="69"/>
  <c r="L121" i="69"/>
  <c r="H121" i="69"/>
  <c r="D121" i="69"/>
  <c r="B121" i="69"/>
  <c r="Z120" i="69"/>
  <c r="X120" i="69"/>
  <c r="N120" i="69"/>
  <c r="L120" i="69"/>
  <c r="B120" i="69"/>
  <c r="Z119" i="69"/>
  <c r="X119" i="69"/>
  <c r="T119" i="69"/>
  <c r="P119" i="69"/>
  <c r="H119" i="69"/>
  <c r="N119" i="69" s="1"/>
  <c r="D119" i="69"/>
  <c r="B119" i="69"/>
  <c r="Z118" i="69"/>
  <c r="X118" i="69"/>
  <c r="N118" i="69"/>
  <c r="L118" i="69"/>
  <c r="B118" i="69"/>
  <c r="X117" i="69"/>
  <c r="Z117" i="69" s="1"/>
  <c r="N117" i="69"/>
  <c r="L117" i="69"/>
  <c r="B117" i="69"/>
  <c r="X116" i="69"/>
  <c r="T116" i="69"/>
  <c r="P116" i="69"/>
  <c r="H116" i="69"/>
  <c r="D116" i="69"/>
  <c r="L116" i="69" s="1"/>
  <c r="B116" i="69"/>
  <c r="Z115" i="69"/>
  <c r="X115" i="69"/>
  <c r="N115" i="69"/>
  <c r="L115" i="69"/>
  <c r="B115" i="69"/>
  <c r="T114" i="69"/>
  <c r="Z114" i="69" s="1"/>
  <c r="P114" i="69"/>
  <c r="X114" i="69" s="1"/>
  <c r="H114" i="69"/>
  <c r="N114" i="69" s="1"/>
  <c r="D114" i="69"/>
  <c r="L114" i="69" s="1"/>
  <c r="B114" i="69"/>
  <c r="Z113" i="69"/>
  <c r="X113" i="69"/>
  <c r="N113" i="69"/>
  <c r="L113" i="69"/>
  <c r="B113" i="69"/>
  <c r="X112" i="69"/>
  <c r="Z112" i="69" s="1"/>
  <c r="L112" i="69"/>
  <c r="N112" i="69" s="1"/>
  <c r="B112" i="69"/>
  <c r="T111" i="69"/>
  <c r="P111" i="69"/>
  <c r="X111" i="69" s="1"/>
  <c r="Z111" i="69" s="1"/>
  <c r="N111" i="69"/>
  <c r="L111" i="69"/>
  <c r="H111" i="69"/>
  <c r="D111" i="69"/>
  <c r="B111" i="69"/>
  <c r="Z110" i="69"/>
  <c r="X110" i="69"/>
  <c r="N110" i="69"/>
  <c r="L110" i="69"/>
  <c r="B110" i="69"/>
  <c r="Z109" i="69"/>
  <c r="T109" i="69"/>
  <c r="P109" i="69"/>
  <c r="X109" i="69" s="1"/>
  <c r="N109" i="69"/>
  <c r="L109" i="69"/>
  <c r="H109" i="69"/>
  <c r="D109" i="69"/>
  <c r="B109" i="69"/>
  <c r="Z108" i="69"/>
  <c r="X108" i="69"/>
  <c r="N108" i="69"/>
  <c r="L108" i="69"/>
  <c r="B108" i="69"/>
  <c r="Z107" i="69"/>
  <c r="X107" i="69"/>
  <c r="T107" i="69"/>
  <c r="P107" i="69"/>
  <c r="H107" i="69"/>
  <c r="N107" i="69" s="1"/>
  <c r="D107" i="69"/>
  <c r="L107" i="69" s="1"/>
  <c r="B107" i="69"/>
  <c r="Z106" i="69"/>
  <c r="X106" i="69"/>
  <c r="N106" i="69"/>
  <c r="L106" i="69"/>
  <c r="B106" i="69"/>
  <c r="Z105" i="69"/>
  <c r="X105" i="69"/>
  <c r="N105" i="69"/>
  <c r="L105" i="69"/>
  <c r="B105" i="69"/>
  <c r="X104" i="69"/>
  <c r="T104" i="69"/>
  <c r="Z104" i="69" s="1"/>
  <c r="P104" i="69"/>
  <c r="H104" i="69"/>
  <c r="N104" i="69" s="1"/>
  <c r="D104" i="69"/>
  <c r="L104" i="69" s="1"/>
  <c r="B104" i="69"/>
  <c r="Z103" i="69"/>
  <c r="X103" i="69"/>
  <c r="N103" i="69"/>
  <c r="L103" i="69"/>
  <c r="B103" i="69"/>
  <c r="T102" i="69"/>
  <c r="P102" i="69"/>
  <c r="X102" i="69" s="1"/>
  <c r="H102" i="69"/>
  <c r="D102" i="69"/>
  <c r="L102" i="69" s="1"/>
  <c r="B102" i="69"/>
  <c r="Z101" i="69"/>
  <c r="X101" i="69"/>
  <c r="N101" i="69"/>
  <c r="L101" i="69"/>
  <c r="B101" i="69"/>
  <c r="X100" i="69"/>
  <c r="Z100" i="69" s="1"/>
  <c r="L100" i="69"/>
  <c r="N100" i="69" s="1"/>
  <c r="B100" i="69"/>
  <c r="Z99" i="69"/>
  <c r="X99" i="69"/>
  <c r="N99" i="69"/>
  <c r="L99" i="69"/>
  <c r="B99" i="69"/>
  <c r="X98" i="69"/>
  <c r="Z98" i="69" s="1"/>
  <c r="L98" i="69"/>
  <c r="N98" i="69" s="1"/>
  <c r="B98" i="69"/>
  <c r="Z97" i="69"/>
  <c r="X97" i="69"/>
  <c r="N97" i="69"/>
  <c r="L97" i="69"/>
  <c r="B97" i="69"/>
  <c r="X96" i="69"/>
  <c r="Z96" i="69" s="1"/>
  <c r="L96" i="69"/>
  <c r="N96" i="69" s="1"/>
  <c r="B96" i="69"/>
  <c r="Z95" i="69"/>
  <c r="T95" i="69"/>
  <c r="P95" i="69"/>
  <c r="X95" i="69" s="1"/>
  <c r="H95" i="69"/>
  <c r="D95" i="69"/>
  <c r="L95" i="69" s="1"/>
  <c r="N95" i="69" s="1"/>
  <c r="B95" i="69"/>
  <c r="X94" i="69"/>
  <c r="Z94" i="69" s="1"/>
  <c r="L94" i="69"/>
  <c r="N94" i="69" s="1"/>
  <c r="B94" i="69"/>
  <c r="Z93" i="69"/>
  <c r="X93" i="69"/>
  <c r="N93" i="69"/>
  <c r="L93" i="69"/>
  <c r="B93" i="69"/>
  <c r="X92" i="69"/>
  <c r="Z92" i="69" s="1"/>
  <c r="L92" i="69"/>
  <c r="N92" i="69" s="1"/>
  <c r="B92" i="69"/>
  <c r="Z91" i="69"/>
  <c r="X91" i="69"/>
  <c r="N91" i="69"/>
  <c r="L91" i="69"/>
  <c r="B91" i="69"/>
  <c r="X90" i="69"/>
  <c r="Z90" i="69" s="1"/>
  <c r="L90" i="69"/>
  <c r="N90" i="69" s="1"/>
  <c r="B90" i="69"/>
  <c r="Z89" i="69"/>
  <c r="X89" i="69"/>
  <c r="N89" i="69"/>
  <c r="L89" i="69"/>
  <c r="B89" i="69"/>
  <c r="X88" i="69"/>
  <c r="Z88" i="69" s="1"/>
  <c r="L88" i="69"/>
  <c r="N88" i="69" s="1"/>
  <c r="B88" i="69"/>
  <c r="Z87" i="69"/>
  <c r="X87" i="69"/>
  <c r="N87" i="69"/>
  <c r="L87" i="69"/>
  <c r="B87" i="69"/>
  <c r="T86" i="69"/>
  <c r="P86" i="69"/>
  <c r="H86" i="69"/>
  <c r="N86" i="69" s="1"/>
  <c r="D86" i="69"/>
  <c r="L86" i="69" s="1"/>
  <c r="B86" i="69"/>
  <c r="T85" i="69" a="1"/>
  <c r="T85" i="69" s="1"/>
  <c r="P85" i="69" a="1"/>
  <c r="P85" i="69" s="1"/>
  <c r="X85" i="69" s="1"/>
  <c r="H85" i="69" a="1"/>
  <c r="H85" i="69" s="1"/>
  <c r="D85" i="69" a="1"/>
  <c r="D85" i="69" s="1"/>
  <c r="L85" i="69" s="1"/>
  <c r="Z81" i="69"/>
  <c r="X81" i="69"/>
  <c r="N81" i="69"/>
  <c r="L81" i="69"/>
  <c r="B81" i="69"/>
  <c r="Z80" i="69"/>
  <c r="X80" i="69"/>
  <c r="N80" i="69"/>
  <c r="L80" i="69"/>
  <c r="B80" i="69"/>
  <c r="Z79" i="69"/>
  <c r="X79" i="69"/>
  <c r="N79" i="69"/>
  <c r="L79" i="69"/>
  <c r="B79" i="69"/>
  <c r="X78" i="69"/>
  <c r="Z78" i="69" s="1"/>
  <c r="N78" i="69"/>
  <c r="L78" i="69"/>
  <c r="B78" i="69"/>
  <c r="Z77" i="69"/>
  <c r="X77" i="69"/>
  <c r="L77" i="69"/>
  <c r="N77" i="69" s="1"/>
  <c r="B77" i="69"/>
  <c r="X76" i="69"/>
  <c r="Z76" i="69" s="1"/>
  <c r="L76" i="69"/>
  <c r="N76" i="69" s="1"/>
  <c r="B76" i="69"/>
  <c r="X75" i="69"/>
  <c r="Z75" i="69" s="1"/>
  <c r="N75" i="69"/>
  <c r="L75" i="69"/>
  <c r="B75" i="69"/>
  <c r="Z74" i="69"/>
  <c r="X74" i="69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X70" i="69"/>
  <c r="Z70" i="69" s="1"/>
  <c r="N70" i="69"/>
  <c r="L70" i="69"/>
  <c r="B70" i="69"/>
  <c r="Z69" i="69"/>
  <c r="X69" i="69"/>
  <c r="L69" i="69"/>
  <c r="N69" i="69" s="1"/>
  <c r="B69" i="69"/>
  <c r="X68" i="69"/>
  <c r="Z68" i="69" s="1"/>
  <c r="L68" i="69"/>
  <c r="N68" i="69" s="1"/>
  <c r="B68" i="69"/>
  <c r="X67" i="69"/>
  <c r="Z67" i="69" s="1"/>
  <c r="N67" i="69"/>
  <c r="L67" i="69"/>
  <c r="B67" i="69"/>
  <c r="Z66" i="69"/>
  <c r="X66" i="69"/>
  <c r="N66" i="69"/>
  <c r="L66" i="69"/>
  <c r="B66" i="69"/>
  <c r="X65" i="69"/>
  <c r="Z65" i="69" s="1"/>
  <c r="N65" i="69"/>
  <c r="L65" i="69"/>
  <c r="B65" i="69"/>
  <c r="X64" i="69"/>
  <c r="Z64" i="69" s="1"/>
  <c r="L64" i="69"/>
  <c r="N64" i="69" s="1"/>
  <c r="B64" i="69"/>
  <c r="Z63" i="69"/>
  <c r="X63" i="69"/>
  <c r="L63" i="69"/>
  <c r="N63" i="69" s="1"/>
  <c r="B63" i="69"/>
  <c r="Z62" i="69"/>
  <c r="X62" i="69"/>
  <c r="N62" i="69"/>
  <c r="L62" i="69"/>
  <c r="B62" i="69"/>
  <c r="X61" i="69"/>
  <c r="Z61" i="69" s="1"/>
  <c r="L61" i="69"/>
  <c r="N61" i="69" s="1"/>
  <c r="B61" i="69"/>
  <c r="X60" i="69"/>
  <c r="Z60" i="69" s="1"/>
  <c r="N60" i="69"/>
  <c r="L60" i="69"/>
  <c r="B60" i="69"/>
  <c r="X59" i="69"/>
  <c r="Z59" i="69" s="1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X56" i="69"/>
  <c r="T56" i="69"/>
  <c r="Z56" i="69" s="1"/>
  <c r="P56" i="69"/>
  <c r="H56" i="69"/>
  <c r="D56" i="69"/>
  <c r="L56" i="69" s="1"/>
  <c r="T54" i="69"/>
  <c r="Z54" i="69" s="1"/>
  <c r="P54" i="69"/>
  <c r="N54" i="69"/>
  <c r="L54" i="69"/>
  <c r="H54" i="69"/>
  <c r="D54" i="69"/>
  <c r="B54" i="69"/>
  <c r="X53" i="69"/>
  <c r="Z53" i="69" s="1"/>
  <c r="T53" i="69"/>
  <c r="P53" i="69"/>
  <c r="N53" i="69"/>
  <c r="H53" i="69"/>
  <c r="D53" i="69"/>
  <c r="L53" i="69" s="1"/>
  <c r="B53" i="69"/>
  <c r="T52" i="69"/>
  <c r="P52" i="69"/>
  <c r="X52" i="69" s="1"/>
  <c r="Z52" i="69" s="1"/>
  <c r="H52" i="69"/>
  <c r="N52" i="69" s="1"/>
  <c r="D52" i="69"/>
  <c r="L52" i="69" s="1"/>
  <c r="B52" i="69"/>
  <c r="T51" i="69"/>
  <c r="P51" i="69"/>
  <c r="H51" i="69"/>
  <c r="N51" i="69" s="1"/>
  <c r="D51" i="69"/>
  <c r="L51" i="69" s="1"/>
  <c r="B51" i="69"/>
  <c r="Z50" i="69"/>
  <c r="X50" i="69"/>
  <c r="T50" i="69"/>
  <c r="P50" i="69"/>
  <c r="H50" i="69"/>
  <c r="N50" i="69" s="1"/>
  <c r="D50" i="69"/>
  <c r="B50" i="69"/>
  <c r="Z49" i="69"/>
  <c r="T49" i="69"/>
  <c r="P49" i="69"/>
  <c r="X49" i="69" s="1"/>
  <c r="L49" i="69"/>
  <c r="N49" i="69" s="1"/>
  <c r="H49" i="69"/>
  <c r="D49" i="69"/>
  <c r="B49" i="69"/>
  <c r="T48" i="69"/>
  <c r="P48" i="69"/>
  <c r="X48" i="69" s="1"/>
  <c r="H48" i="69"/>
  <c r="D48" i="69"/>
  <c r="L48" i="69" s="1"/>
  <c r="N48" i="69" s="1"/>
  <c r="B48" i="69"/>
  <c r="T47" i="69"/>
  <c r="P47" i="69"/>
  <c r="X47" i="69" s="1"/>
  <c r="H47" i="69"/>
  <c r="D47" i="69"/>
  <c r="B47" i="69"/>
  <c r="T46" i="69"/>
  <c r="P46" i="69"/>
  <c r="L46" i="69"/>
  <c r="H46" i="69"/>
  <c r="N46" i="69" s="1"/>
  <c r="D46" i="69"/>
  <c r="B46" i="69"/>
  <c r="X45" i="69"/>
  <c r="Z45" i="69" s="1"/>
  <c r="T45" i="69"/>
  <c r="P45" i="69"/>
  <c r="N45" i="69"/>
  <c r="L45" i="69"/>
  <c r="H45" i="69"/>
  <c r="D45" i="69"/>
  <c r="B45" i="69"/>
  <c r="T44" i="69"/>
  <c r="P44" i="69"/>
  <c r="X44" i="69" s="1"/>
  <c r="Z44" i="69" s="1"/>
  <c r="H44" i="69"/>
  <c r="D44" i="69"/>
  <c r="L44" i="69" s="1"/>
  <c r="N44" i="69" s="1"/>
  <c r="B44" i="69"/>
  <c r="T43" i="69"/>
  <c r="P43" i="69"/>
  <c r="X43" i="69" s="1"/>
  <c r="H43" i="69"/>
  <c r="N43" i="69" s="1"/>
  <c r="D43" i="69"/>
  <c r="L43" i="69" s="1"/>
  <c r="B43" i="69"/>
  <c r="X42" i="69"/>
  <c r="T42" i="69"/>
  <c r="P42" i="69"/>
  <c r="H42" i="69"/>
  <c r="D42" i="69"/>
  <c r="B42" i="69"/>
  <c r="Z41" i="69"/>
  <c r="X41" i="69"/>
  <c r="T41" i="69"/>
  <c r="P41" i="69"/>
  <c r="N41" i="69"/>
  <c r="L41" i="69"/>
  <c r="H41" i="69"/>
  <c r="D41" i="69"/>
  <c r="B41" i="69"/>
  <c r="Z40" i="69"/>
  <c r="T40" i="69"/>
  <c r="P40" i="69"/>
  <c r="X40" i="69" s="1"/>
  <c r="N40" i="69"/>
  <c r="H40" i="69"/>
  <c r="D40" i="69"/>
  <c r="L40" i="69" s="1"/>
  <c r="B40" i="69"/>
  <c r="T39" i="69"/>
  <c r="P39" i="69"/>
  <c r="X39" i="69" s="1"/>
  <c r="H39" i="69"/>
  <c r="N39" i="69" s="1"/>
  <c r="D39" i="69"/>
  <c r="B39" i="69"/>
  <c r="T38" i="69"/>
  <c r="P38" i="69"/>
  <c r="L38" i="69"/>
  <c r="H38" i="69"/>
  <c r="D38" i="69"/>
  <c r="B38" i="69"/>
  <c r="X37" i="69"/>
  <c r="Z37" i="69" s="1"/>
  <c r="T37" i="69"/>
  <c r="P37" i="69"/>
  <c r="N37" i="69"/>
  <c r="L37" i="69"/>
  <c r="H37" i="69"/>
  <c r="D37" i="69"/>
  <c r="B37" i="69"/>
  <c r="T36" i="69"/>
  <c r="P36" i="69"/>
  <c r="X36" i="69" s="1"/>
  <c r="Z36" i="69" s="1"/>
  <c r="H36" i="69"/>
  <c r="D36" i="69"/>
  <c r="L36" i="69" s="1"/>
  <c r="N36" i="69" s="1"/>
  <c r="B36" i="69"/>
  <c r="T35" i="69"/>
  <c r="P35" i="69"/>
  <c r="X35" i="69" s="1"/>
  <c r="H35" i="69"/>
  <c r="N35" i="69" s="1"/>
  <c r="D35" i="69"/>
  <c r="L35" i="69" s="1"/>
  <c r="B35" i="69"/>
  <c r="X34" i="69"/>
  <c r="T34" i="69"/>
  <c r="Z34" i="69" s="1"/>
  <c r="P34" i="69"/>
  <c r="H34" i="69"/>
  <c r="D34" i="69"/>
  <c r="B34" i="69"/>
  <c r="Z33" i="69"/>
  <c r="X33" i="69"/>
  <c r="T33" i="69"/>
  <c r="P33" i="69"/>
  <c r="N33" i="69"/>
  <c r="L33" i="69"/>
  <c r="H33" i="69"/>
  <c r="D33" i="69"/>
  <c r="B33" i="69"/>
  <c r="T32" i="69"/>
  <c r="P32" i="69"/>
  <c r="X32" i="69" s="1"/>
  <c r="Z32" i="69" s="1"/>
  <c r="N32" i="69"/>
  <c r="H32" i="69"/>
  <c r="D32" i="69"/>
  <c r="L32" i="69" s="1"/>
  <c r="B32" i="69"/>
  <c r="T31" i="69"/>
  <c r="Z31" i="69" s="1"/>
  <c r="P31" i="69"/>
  <c r="X31" i="69" s="1"/>
  <c r="H31" i="69"/>
  <c r="N31" i="69" s="1"/>
  <c r="D31" i="69"/>
  <c r="B31" i="69"/>
  <c r="T30" i="69"/>
  <c r="P30" i="69"/>
  <c r="L30" i="69"/>
  <c r="H30" i="69"/>
  <c r="N30" i="69" s="1"/>
  <c r="D30" i="69"/>
  <c r="B30" i="69"/>
  <c r="X29" i="69"/>
  <c r="Z29" i="69" s="1"/>
  <c r="T29" i="69"/>
  <c r="P29" i="69"/>
  <c r="N29" i="69"/>
  <c r="L29" i="69"/>
  <c r="H29" i="69"/>
  <c r="D29" i="69"/>
  <c r="B29" i="69"/>
  <c r="T28" i="69"/>
  <c r="P28" i="69"/>
  <c r="X28" i="69" s="1"/>
  <c r="Z28" i="69" s="1"/>
  <c r="H28" i="69"/>
  <c r="D28" i="69"/>
  <c r="L28" i="69" s="1"/>
  <c r="N28" i="69" s="1"/>
  <c r="B28" i="69"/>
  <c r="T27" i="69"/>
  <c r="P27" i="69"/>
  <c r="H27" i="69"/>
  <c r="N27" i="69" s="1"/>
  <c r="D27" i="69"/>
  <c r="L27" i="69" s="1"/>
  <c r="B27" i="69"/>
  <c r="X26" i="69"/>
  <c r="T26" i="69"/>
  <c r="P26" i="69"/>
  <c r="H26" i="69"/>
  <c r="N26" i="69" s="1"/>
  <c r="D26" i="69"/>
  <c r="B26" i="69"/>
  <c r="Z25" i="69"/>
  <c r="X25" i="69"/>
  <c r="T25" i="69"/>
  <c r="P25" i="69"/>
  <c r="N25" i="69"/>
  <c r="L25" i="69"/>
  <c r="H25" i="69"/>
  <c r="D25" i="69"/>
  <c r="B25" i="69"/>
  <c r="T24" i="69"/>
  <c r="P24" i="69"/>
  <c r="X24" i="69" s="1"/>
  <c r="Z24" i="69" s="1"/>
  <c r="H24" i="69"/>
  <c r="D24" i="69"/>
  <c r="L24" i="69" s="1"/>
  <c r="N24" i="69" s="1"/>
  <c r="B24" i="69"/>
  <c r="T23" i="69"/>
  <c r="P23" i="69"/>
  <c r="X23" i="69" s="1"/>
  <c r="H23" i="69"/>
  <c r="D23" i="69"/>
  <c r="L23" i="69" s="1"/>
  <c r="B23" i="69"/>
  <c r="T22" i="69"/>
  <c r="P22" i="69"/>
  <c r="L22" i="69"/>
  <c r="H22" i="69"/>
  <c r="D22" i="69"/>
  <c r="B22" i="69"/>
  <c r="X21" i="69"/>
  <c r="Z21" i="69" s="1"/>
  <c r="T21" i="69"/>
  <c r="P21" i="69"/>
  <c r="N21" i="69"/>
  <c r="L21" i="69"/>
  <c r="H21" i="69"/>
  <c r="D21" i="69"/>
  <c r="B21" i="69"/>
  <c r="T20" i="69"/>
  <c r="P20" i="69"/>
  <c r="X20" i="69" s="1"/>
  <c r="Z20" i="69" s="1"/>
  <c r="H20" i="69"/>
  <c r="D20" i="69"/>
  <c r="L20" i="69" s="1"/>
  <c r="N20" i="69" s="1"/>
  <c r="B20" i="69"/>
  <c r="T19" i="69"/>
  <c r="P19" i="69"/>
  <c r="X19" i="69" s="1"/>
  <c r="H19" i="69"/>
  <c r="D19" i="69"/>
  <c r="L19" i="69" s="1"/>
  <c r="B19" i="69"/>
  <c r="X18" i="69"/>
  <c r="T18" i="69"/>
  <c r="Z18" i="69" s="1"/>
  <c r="P18" i="69"/>
  <c r="H18" i="69"/>
  <c r="N18" i="69" s="1"/>
  <c r="D18" i="69"/>
  <c r="B18" i="69"/>
  <c r="Z17" i="69"/>
  <c r="X17" i="69"/>
  <c r="T17" i="69"/>
  <c r="P17" i="69"/>
  <c r="L17" i="69"/>
  <c r="N17" i="69" s="1"/>
  <c r="H17" i="69"/>
  <c r="D17" i="69"/>
  <c r="B17" i="69"/>
  <c r="T16" i="69"/>
  <c r="P16" i="69"/>
  <c r="X16" i="69" s="1"/>
  <c r="Z16" i="69" s="1"/>
  <c r="H16" i="69"/>
  <c r="D16" i="69"/>
  <c r="B16" i="69"/>
  <c r="T15" i="69"/>
  <c r="P15" i="69"/>
  <c r="X15" i="69" s="1"/>
  <c r="H15" i="69"/>
  <c r="D15" i="69"/>
  <c r="L15" i="69" s="1"/>
  <c r="B15" i="69"/>
  <c r="T14" i="69"/>
  <c r="P14" i="69"/>
  <c r="L14" i="69"/>
  <c r="H14" i="69"/>
  <c r="D14" i="69"/>
  <c r="B14" i="69"/>
  <c r="X13" i="69"/>
  <c r="Z13" i="69" s="1"/>
  <c r="T13" i="69"/>
  <c r="P13" i="69"/>
  <c r="N13" i="69"/>
  <c r="L13" i="69"/>
  <c r="H13" i="69"/>
  <c r="D13" i="69"/>
  <c r="B13" i="69"/>
  <c r="P12" i="69"/>
  <c r="D6" i="69"/>
  <c r="D4" i="69"/>
  <c r="Z52" i="67"/>
  <c r="X52" i="67"/>
  <c r="N52" i="67"/>
  <c r="L52" i="67"/>
  <c r="T48" i="67"/>
  <c r="Z48" i="67" s="1"/>
  <c r="P48" i="67"/>
  <c r="H48" i="67"/>
  <c r="N48" i="67" s="1"/>
  <c r="D48" i="67"/>
  <c r="L48" i="67" s="1"/>
  <c r="X46" i="67"/>
  <c r="Z46" i="67" s="1"/>
  <c r="N46" i="67"/>
  <c r="L46" i="67"/>
  <c r="B46" i="67"/>
  <c r="T45" i="67"/>
  <c r="P45" i="67"/>
  <c r="X45" i="67" s="1"/>
  <c r="N45" i="67"/>
  <c r="H45" i="67"/>
  <c r="D45" i="67"/>
  <c r="L45" i="67" s="1"/>
  <c r="B45" i="67"/>
  <c r="Z44" i="67"/>
  <c r="X44" i="67"/>
  <c r="N44" i="67"/>
  <c r="L44" i="67"/>
  <c r="B44" i="67"/>
  <c r="Z43" i="67"/>
  <c r="T43" i="67"/>
  <c r="P43" i="67"/>
  <c r="X43" i="67" s="1"/>
  <c r="H43" i="67"/>
  <c r="N43" i="67" s="1"/>
  <c r="D43" i="67"/>
  <c r="B43" i="67"/>
  <c r="Z42" i="67"/>
  <c r="X42" i="67"/>
  <c r="N42" i="67"/>
  <c r="L42" i="67"/>
  <c r="B42" i="67"/>
  <c r="T41" i="67"/>
  <c r="P41" i="67"/>
  <c r="X41" i="67" s="1"/>
  <c r="N41" i="67"/>
  <c r="L41" i="67"/>
  <c r="H41" i="67"/>
  <c r="D41" i="67"/>
  <c r="B41" i="67"/>
  <c r="X40" i="67"/>
  <c r="Z40" i="67" s="1"/>
  <c r="N40" i="67"/>
  <c r="L40" i="67"/>
  <c r="B40" i="67"/>
  <c r="X39" i="67"/>
  <c r="Z39" i="67" s="1"/>
  <c r="T39" i="67"/>
  <c r="P39" i="67"/>
  <c r="H39" i="67"/>
  <c r="N39" i="67" s="1"/>
  <c r="D39" i="67"/>
  <c r="L39" i="67" s="1"/>
  <c r="B39" i="67"/>
  <c r="Z38" i="67"/>
  <c r="X38" i="67"/>
  <c r="N38" i="67"/>
  <c r="L38" i="67"/>
  <c r="B38" i="67"/>
  <c r="T37" i="67"/>
  <c r="P37" i="67"/>
  <c r="X37" i="67" s="1"/>
  <c r="H37" i="67"/>
  <c r="D37" i="67"/>
  <c r="L37" i="67" s="1"/>
  <c r="N37" i="67" s="1"/>
  <c r="B37" i="67"/>
  <c r="X36" i="67"/>
  <c r="Z36" i="67" s="1"/>
  <c r="N36" i="67"/>
  <c r="L36" i="67"/>
  <c r="B36" i="67"/>
  <c r="T35" i="67"/>
  <c r="P35" i="67"/>
  <c r="X35" i="67" s="1"/>
  <c r="Z35" i="67" s="1"/>
  <c r="H35" i="67"/>
  <c r="N35" i="67" s="1"/>
  <c r="D35" i="67"/>
  <c r="L35" i="67" s="1"/>
  <c r="B35" i="67"/>
  <c r="Z34" i="67"/>
  <c r="X34" i="67"/>
  <c r="N34" i="67"/>
  <c r="L34" i="67"/>
  <c r="B34" i="67"/>
  <c r="T33" i="67"/>
  <c r="P33" i="67"/>
  <c r="X33" i="67" s="1"/>
  <c r="L33" i="67"/>
  <c r="H33" i="67"/>
  <c r="N33" i="67" s="1"/>
  <c r="D33" i="67"/>
  <c r="B33" i="67"/>
  <c r="X32" i="67"/>
  <c r="Z32" i="67" s="1"/>
  <c r="N32" i="67"/>
  <c r="L32" i="67"/>
  <c r="B32" i="67"/>
  <c r="X31" i="67"/>
  <c r="Z31" i="67" s="1"/>
  <c r="N31" i="67"/>
  <c r="L31" i="67"/>
  <c r="B31" i="67"/>
  <c r="Z30" i="67"/>
  <c r="X30" i="67"/>
  <c r="R30" i="67"/>
  <c r="N30" i="67"/>
  <c r="L30" i="67"/>
  <c r="B30" i="67"/>
  <c r="X29" i="67"/>
  <c r="Z29" i="67" s="1"/>
  <c r="N29" i="67"/>
  <c r="L29" i="67"/>
  <c r="B29" i="67"/>
  <c r="X28" i="67"/>
  <c r="Z28" i="67" s="1"/>
  <c r="N28" i="67"/>
  <c r="L28" i="67"/>
  <c r="B28" i="67"/>
  <c r="Z27" i="67"/>
  <c r="X27" i="67"/>
  <c r="N27" i="67"/>
  <c r="L27" i="67"/>
  <c r="B27" i="67"/>
  <c r="Z26" i="67"/>
  <c r="X26" i="67"/>
  <c r="N26" i="67"/>
  <c r="L26" i="67"/>
  <c r="B26" i="67"/>
  <c r="X25" i="67"/>
  <c r="Z25" i="67" s="1"/>
  <c r="N25" i="67"/>
  <c r="L25" i="67"/>
  <c r="B25" i="67"/>
  <c r="T24" i="67"/>
  <c r="P24" i="67"/>
  <c r="X24" i="67" s="1"/>
  <c r="Z24" i="67" s="1"/>
  <c r="H24" i="67"/>
  <c r="N24" i="67" s="1"/>
  <c r="D24" i="67"/>
  <c r="L24" i="67" s="1"/>
  <c r="B24" i="67"/>
  <c r="T23" i="67" a="1"/>
  <c r="T23" i="67" s="1"/>
  <c r="Z23" i="67" s="1"/>
  <c r="P23" i="67" a="1"/>
  <c r="P23" i="67" s="1"/>
  <c r="X23" i="67" s="1"/>
  <c r="H23" i="67" a="1"/>
  <c r="H23" i="67" s="1"/>
  <c r="N23" i="67" s="1"/>
  <c r="D23" i="67" a="1"/>
  <c r="D23" i="67" s="1"/>
  <c r="L23" i="67" s="1"/>
  <c r="X19" i="67"/>
  <c r="Z19" i="67" s="1"/>
  <c r="N19" i="67"/>
  <c r="L19" i="67"/>
  <c r="B19" i="67"/>
  <c r="T18" i="67"/>
  <c r="P18" i="67"/>
  <c r="N18" i="67"/>
  <c r="H18" i="67"/>
  <c r="D18" i="67"/>
  <c r="L18" i="67" s="1"/>
  <c r="T16" i="67"/>
  <c r="Z16" i="67" s="1"/>
  <c r="P16" i="67"/>
  <c r="X16" i="67" s="1"/>
  <c r="N16" i="67"/>
  <c r="H16" i="67"/>
  <c r="D16" i="67"/>
  <c r="L16" i="67" s="1"/>
  <c r="B16" i="67"/>
  <c r="X15" i="67"/>
  <c r="T15" i="67"/>
  <c r="Z15" i="67" s="1"/>
  <c r="P15" i="67"/>
  <c r="H15" i="67"/>
  <c r="N15" i="67" s="1"/>
  <c r="D15" i="67"/>
  <c r="B15" i="67"/>
  <c r="Z14" i="67"/>
  <c r="T14" i="67"/>
  <c r="P14" i="67"/>
  <c r="X14" i="67" s="1"/>
  <c r="L14" i="67"/>
  <c r="H14" i="67"/>
  <c r="N14" i="67" s="1"/>
  <c r="D14" i="67"/>
  <c r="B14" i="67"/>
  <c r="T13" i="67"/>
  <c r="Z13" i="67" s="1"/>
  <c r="P13" i="67"/>
  <c r="N13" i="67"/>
  <c r="H13" i="67"/>
  <c r="D13" i="67"/>
  <c r="B13" i="67"/>
  <c r="P12" i="67"/>
  <c r="R42" i="67" s="1"/>
  <c r="D6" i="67"/>
  <c r="D4" i="67"/>
  <c r="X118" i="66"/>
  <c r="Z118" i="66" s="1"/>
  <c r="L118" i="66"/>
  <c r="N118" i="66" s="1"/>
  <c r="T114" i="66"/>
  <c r="P114" i="66"/>
  <c r="X114" i="66" s="1"/>
  <c r="H114" i="66"/>
  <c r="D114" i="66"/>
  <c r="L114" i="66" s="1"/>
  <c r="B114" i="66"/>
  <c r="T113" i="66"/>
  <c r="P113" i="66"/>
  <c r="H113" i="66"/>
  <c r="N113" i="66" s="1"/>
  <c r="D113" i="66"/>
  <c r="L113" i="66" s="1"/>
  <c r="B113" i="66"/>
  <c r="T112" i="66"/>
  <c r="P112" i="66"/>
  <c r="P111" i="66" s="1"/>
  <c r="L112" i="66"/>
  <c r="N112" i="66" s="1"/>
  <c r="H112" i="66"/>
  <c r="D112" i="66"/>
  <c r="D111" i="66" s="1"/>
  <c r="L111" i="66" s="1"/>
  <c r="N111" i="66" s="1"/>
  <c r="B112" i="66"/>
  <c r="H111" i="66"/>
  <c r="X109" i="66"/>
  <c r="Z109" i="66" s="1"/>
  <c r="N109" i="66"/>
  <c r="L109" i="66"/>
  <c r="B109" i="66"/>
  <c r="T108" i="66"/>
  <c r="P108" i="66"/>
  <c r="X108" i="66" s="1"/>
  <c r="H108" i="66"/>
  <c r="N108" i="66" s="1"/>
  <c r="D108" i="66"/>
  <c r="L108" i="66" s="1"/>
  <c r="B108" i="66"/>
  <c r="Z107" i="66"/>
  <c r="X107" i="66"/>
  <c r="N107" i="66"/>
  <c r="L107" i="66"/>
  <c r="B107" i="66"/>
  <c r="Z106" i="66"/>
  <c r="X106" i="66"/>
  <c r="L106" i="66"/>
  <c r="N106" i="66" s="1"/>
  <c r="B106" i="66"/>
  <c r="T105" i="66"/>
  <c r="Z105" i="66" s="1"/>
  <c r="P105" i="66"/>
  <c r="X105" i="66" s="1"/>
  <c r="N105" i="66"/>
  <c r="L105" i="66"/>
  <c r="H105" i="66"/>
  <c r="D105" i="66"/>
  <c r="B105" i="66"/>
  <c r="X104" i="66"/>
  <c r="Z104" i="66" s="1"/>
  <c r="L104" i="66"/>
  <c r="N104" i="66" s="1"/>
  <c r="B104" i="66"/>
  <c r="Z103" i="66"/>
  <c r="X103" i="66"/>
  <c r="N103" i="66"/>
  <c r="L103" i="66"/>
  <c r="B103" i="66"/>
  <c r="T102" i="66"/>
  <c r="P102" i="66"/>
  <c r="X102" i="66" s="1"/>
  <c r="L102" i="66"/>
  <c r="N102" i="66" s="1"/>
  <c r="H102" i="66"/>
  <c r="D102" i="66"/>
  <c r="B102" i="66"/>
  <c r="X101" i="66"/>
  <c r="Z101" i="66" s="1"/>
  <c r="N101" i="66"/>
  <c r="L101" i="66"/>
  <c r="B101" i="66"/>
  <c r="X100" i="66"/>
  <c r="Z100" i="66" s="1"/>
  <c r="L100" i="66"/>
  <c r="N100" i="66" s="1"/>
  <c r="B100" i="66"/>
  <c r="T99" i="66"/>
  <c r="X99" i="66" s="1"/>
  <c r="Z99" i="66" s="1"/>
  <c r="P99" i="66"/>
  <c r="L99" i="66"/>
  <c r="N99" i="66" s="1"/>
  <c r="H99" i="66"/>
  <c r="D99" i="66"/>
  <c r="B99" i="66"/>
  <c r="X98" i="66"/>
  <c r="Z98" i="66" s="1"/>
  <c r="N98" i="66"/>
  <c r="L98" i="66"/>
  <c r="B98" i="66"/>
  <c r="X97" i="66"/>
  <c r="Z97" i="66" s="1"/>
  <c r="L97" i="66"/>
  <c r="N97" i="66" s="1"/>
  <c r="B97" i="66"/>
  <c r="Z96" i="66"/>
  <c r="X96" i="66"/>
  <c r="N96" i="66"/>
  <c r="L96" i="66"/>
  <c r="B96" i="66"/>
  <c r="Z95" i="66"/>
  <c r="T95" i="66"/>
  <c r="P95" i="66"/>
  <c r="X95" i="66" s="1"/>
  <c r="L95" i="66"/>
  <c r="N95" i="66" s="1"/>
  <c r="H95" i="66"/>
  <c r="D95" i="66"/>
  <c r="B95" i="66"/>
  <c r="X94" i="66"/>
  <c r="Z94" i="66" s="1"/>
  <c r="N94" i="66"/>
  <c r="L94" i="66"/>
  <c r="B94" i="66"/>
  <c r="X93" i="66"/>
  <c r="Z93" i="66" s="1"/>
  <c r="T93" i="66"/>
  <c r="P93" i="66"/>
  <c r="H93" i="66"/>
  <c r="D93" i="66"/>
  <c r="L93" i="66" s="1"/>
  <c r="N93" i="66" s="1"/>
  <c r="B93" i="66"/>
  <c r="X92" i="66"/>
  <c r="Z92" i="66" s="1"/>
  <c r="L92" i="66"/>
  <c r="N92" i="66" s="1"/>
  <c r="B92" i="66"/>
  <c r="T91" i="66"/>
  <c r="P91" i="66"/>
  <c r="X91" i="66" s="1"/>
  <c r="Z91" i="66" s="1"/>
  <c r="H91" i="66"/>
  <c r="N91" i="66" s="1"/>
  <c r="D91" i="66"/>
  <c r="L91" i="66" s="1"/>
  <c r="B91" i="66"/>
  <c r="Z90" i="66"/>
  <c r="X90" i="66"/>
  <c r="N90" i="66"/>
  <c r="L90" i="66"/>
  <c r="B90" i="66"/>
  <c r="X89" i="66"/>
  <c r="Z89" i="66" s="1"/>
  <c r="L89" i="66"/>
  <c r="N89" i="66" s="1"/>
  <c r="B89" i="66"/>
  <c r="T88" i="66"/>
  <c r="P88" i="66"/>
  <c r="X88" i="66" s="1"/>
  <c r="H88" i="66"/>
  <c r="D88" i="66"/>
  <c r="L88" i="66" s="1"/>
  <c r="B88" i="66"/>
  <c r="Z87" i="66"/>
  <c r="X87" i="66"/>
  <c r="N87" i="66"/>
  <c r="L87" i="66"/>
  <c r="B87" i="66"/>
  <c r="T86" i="66"/>
  <c r="P86" i="66"/>
  <c r="X86" i="66" s="1"/>
  <c r="L86" i="66"/>
  <c r="N86" i="66" s="1"/>
  <c r="H86" i="66"/>
  <c r="D86" i="66"/>
  <c r="B86" i="66"/>
  <c r="X85" i="66"/>
  <c r="Z85" i="66" s="1"/>
  <c r="N85" i="66"/>
  <c r="L85" i="66"/>
  <c r="B85" i="66"/>
  <c r="X84" i="66"/>
  <c r="Z84" i="66" s="1"/>
  <c r="T84" i="66"/>
  <c r="P84" i="66"/>
  <c r="H84" i="66"/>
  <c r="D84" i="66"/>
  <c r="B84" i="66"/>
  <c r="Z83" i="66"/>
  <c r="X83" i="66"/>
  <c r="N83" i="66"/>
  <c r="L83" i="66"/>
  <c r="B83" i="66"/>
  <c r="Z82" i="66"/>
  <c r="X82" i="66"/>
  <c r="N82" i="66"/>
  <c r="L82" i="66"/>
  <c r="B82" i="66"/>
  <c r="Z81" i="66"/>
  <c r="X81" i="66"/>
  <c r="T81" i="66"/>
  <c r="P81" i="66"/>
  <c r="H81" i="66"/>
  <c r="D81" i="66"/>
  <c r="L81" i="66" s="1"/>
  <c r="N81" i="66" s="1"/>
  <c r="B81" i="66"/>
  <c r="X80" i="66"/>
  <c r="Z80" i="66" s="1"/>
  <c r="N80" i="66"/>
  <c r="L80" i="66"/>
  <c r="B80" i="66"/>
  <c r="T79" i="66"/>
  <c r="P79" i="66"/>
  <c r="X79" i="66" s="1"/>
  <c r="Z79" i="66" s="1"/>
  <c r="H79" i="66"/>
  <c r="N79" i="66" s="1"/>
  <c r="D79" i="66"/>
  <c r="L79" i="66" s="1"/>
  <c r="B79" i="66"/>
  <c r="Z78" i="66"/>
  <c r="X78" i="66"/>
  <c r="L78" i="66"/>
  <c r="N78" i="66" s="1"/>
  <c r="B78" i="66"/>
  <c r="X77" i="66"/>
  <c r="Z77" i="66" s="1"/>
  <c r="L77" i="66"/>
  <c r="N77" i="66" s="1"/>
  <c r="B77" i="66"/>
  <c r="X76" i="66"/>
  <c r="Z76" i="66" s="1"/>
  <c r="N76" i="66"/>
  <c r="L76" i="66"/>
  <c r="B76" i="66"/>
  <c r="Z75" i="66"/>
  <c r="X75" i="66"/>
  <c r="N75" i="66"/>
  <c r="L75" i="66"/>
  <c r="B75" i="66"/>
  <c r="X74" i="66"/>
  <c r="Z74" i="66" s="1"/>
  <c r="N74" i="66"/>
  <c r="L74" i="66"/>
  <c r="B74" i="66"/>
  <c r="X73" i="66"/>
  <c r="Z73" i="66" s="1"/>
  <c r="L73" i="66"/>
  <c r="N73" i="66" s="1"/>
  <c r="B73" i="66"/>
  <c r="X72" i="66"/>
  <c r="Z72" i="66" s="1"/>
  <c r="N72" i="66"/>
  <c r="L72" i="66"/>
  <c r="B72" i="66"/>
  <c r="T71" i="66"/>
  <c r="X71" i="66" s="1"/>
  <c r="Z71" i="66" s="1"/>
  <c r="P71" i="66"/>
  <c r="L71" i="66"/>
  <c r="H71" i="66"/>
  <c r="N71" i="66" s="1"/>
  <c r="D71" i="66"/>
  <c r="B71" i="66"/>
  <c r="X70" i="66"/>
  <c r="Z70" i="66" s="1"/>
  <c r="N70" i="66"/>
  <c r="L70" i="66"/>
  <c r="B70" i="66"/>
  <c r="X69" i="66"/>
  <c r="Z69" i="66" s="1"/>
  <c r="L69" i="66"/>
  <c r="N69" i="66" s="1"/>
  <c r="B69" i="66"/>
  <c r="X68" i="66"/>
  <c r="Z68" i="66" s="1"/>
  <c r="L68" i="66"/>
  <c r="N68" i="66" s="1"/>
  <c r="B68" i="66"/>
  <c r="Z67" i="66"/>
  <c r="X67" i="66"/>
  <c r="N67" i="66"/>
  <c r="L67" i="66"/>
  <c r="B67" i="66"/>
  <c r="Z66" i="66"/>
  <c r="X66" i="66"/>
  <c r="L66" i="66"/>
  <c r="N66" i="66" s="1"/>
  <c r="B66" i="66"/>
  <c r="X65" i="66"/>
  <c r="Z65" i="66" s="1"/>
  <c r="L65" i="66"/>
  <c r="N65" i="66" s="1"/>
  <c r="B65" i="66"/>
  <c r="X64" i="66"/>
  <c r="Z64" i="66" s="1"/>
  <c r="L64" i="66"/>
  <c r="N64" i="66" s="1"/>
  <c r="B64" i="66"/>
  <c r="Z63" i="66"/>
  <c r="X63" i="66"/>
  <c r="N63" i="66"/>
  <c r="L63" i="66"/>
  <c r="B63" i="66"/>
  <c r="X62" i="66"/>
  <c r="Z62" i="66" s="1"/>
  <c r="N62" i="66"/>
  <c r="L62" i="66"/>
  <c r="B62" i="66"/>
  <c r="X61" i="66"/>
  <c r="T61" i="66"/>
  <c r="Z61" i="66" s="1"/>
  <c r="P61" i="66"/>
  <c r="H61" i="66"/>
  <c r="D61" i="66"/>
  <c r="L61" i="66" s="1"/>
  <c r="N61" i="66" s="1"/>
  <c r="B61" i="66"/>
  <c r="T60" i="66" a="1"/>
  <c r="T60" i="66"/>
  <c r="Z60" i="66" s="1"/>
  <c r="P60" i="66" a="1"/>
  <c r="P60" i="66" s="1"/>
  <c r="X60" i="66" s="1"/>
  <c r="H60" i="66" a="1"/>
  <c r="H60" i="66" s="1"/>
  <c r="D60" i="66" a="1"/>
  <c r="D60" i="66" s="1"/>
  <c r="Z56" i="66"/>
  <c r="X56" i="66"/>
  <c r="N56" i="66"/>
  <c r="L56" i="66"/>
  <c r="B56" i="66"/>
  <c r="Z55" i="66"/>
  <c r="X55" i="66"/>
  <c r="N55" i="66"/>
  <c r="L55" i="66"/>
  <c r="B55" i="66"/>
  <c r="Z54" i="66"/>
  <c r="X54" i="66"/>
  <c r="L54" i="66"/>
  <c r="N54" i="66" s="1"/>
  <c r="B54" i="66"/>
  <c r="X53" i="66"/>
  <c r="Z53" i="66" s="1"/>
  <c r="N53" i="66"/>
  <c r="L53" i="66"/>
  <c r="B53" i="66"/>
  <c r="X52" i="66"/>
  <c r="Z52" i="66" s="1"/>
  <c r="L52" i="66"/>
  <c r="N52" i="66" s="1"/>
  <c r="B52" i="66"/>
  <c r="Z51" i="66"/>
  <c r="X51" i="66"/>
  <c r="N51" i="66"/>
  <c r="L51" i="66"/>
  <c r="B51" i="66"/>
  <c r="X50" i="66"/>
  <c r="Z50" i="66" s="1"/>
  <c r="N50" i="66"/>
  <c r="L50" i="66"/>
  <c r="B50" i="66"/>
  <c r="Z49" i="66"/>
  <c r="X49" i="66"/>
  <c r="L49" i="66"/>
  <c r="N49" i="66" s="1"/>
  <c r="B49" i="66"/>
  <c r="X48" i="66"/>
  <c r="Z48" i="66" s="1"/>
  <c r="N48" i="66"/>
  <c r="L48" i="66"/>
  <c r="B48" i="66"/>
  <c r="Z47" i="66"/>
  <c r="X47" i="66"/>
  <c r="N47" i="66"/>
  <c r="L47" i="66"/>
  <c r="B47" i="66"/>
  <c r="Z46" i="66"/>
  <c r="X46" i="66"/>
  <c r="L46" i="66"/>
  <c r="N46" i="66" s="1"/>
  <c r="B46" i="66"/>
  <c r="X45" i="66"/>
  <c r="Z45" i="66" s="1"/>
  <c r="N45" i="66"/>
  <c r="L45" i="66"/>
  <c r="B45" i="66"/>
  <c r="X44" i="66"/>
  <c r="Z44" i="66" s="1"/>
  <c r="L44" i="66"/>
  <c r="N44" i="66" s="1"/>
  <c r="B44" i="66"/>
  <c r="Z43" i="66"/>
  <c r="X43" i="66"/>
  <c r="N43" i="66"/>
  <c r="L43" i="66"/>
  <c r="B43" i="66"/>
  <c r="X42" i="66"/>
  <c r="Z42" i="66" s="1"/>
  <c r="N42" i="66"/>
  <c r="L42" i="66"/>
  <c r="B42" i="66"/>
  <c r="Z41" i="66"/>
  <c r="X41" i="66"/>
  <c r="V41" i="66"/>
  <c r="L41" i="66"/>
  <c r="N41" i="66" s="1"/>
  <c r="B41" i="66"/>
  <c r="Z40" i="66"/>
  <c r="X40" i="66"/>
  <c r="N40" i="66"/>
  <c r="L40" i="66"/>
  <c r="B40" i="66"/>
  <c r="Z39" i="66"/>
  <c r="X39" i="66"/>
  <c r="T39" i="66"/>
  <c r="P39" i="66"/>
  <c r="H39" i="66"/>
  <c r="D39" i="66"/>
  <c r="Z37" i="66"/>
  <c r="T37" i="66"/>
  <c r="P37" i="66"/>
  <c r="X37" i="66" s="1"/>
  <c r="N37" i="66"/>
  <c r="L37" i="66"/>
  <c r="H37" i="66"/>
  <c r="D37" i="66"/>
  <c r="B37" i="66"/>
  <c r="T36" i="66"/>
  <c r="P36" i="66"/>
  <c r="X36" i="66" s="1"/>
  <c r="H36" i="66"/>
  <c r="D36" i="66"/>
  <c r="L36" i="66" s="1"/>
  <c r="N36" i="66" s="1"/>
  <c r="B36" i="66"/>
  <c r="T35" i="66"/>
  <c r="P35" i="66"/>
  <c r="H35" i="66"/>
  <c r="L35" i="66" s="1"/>
  <c r="D35" i="66"/>
  <c r="B35" i="66"/>
  <c r="X34" i="66"/>
  <c r="T34" i="66"/>
  <c r="Z34" i="66" s="1"/>
  <c r="P34" i="66"/>
  <c r="L34" i="66"/>
  <c r="N34" i="66" s="1"/>
  <c r="H34" i="66"/>
  <c r="D34" i="66"/>
  <c r="B34" i="66"/>
  <c r="Z33" i="66"/>
  <c r="X33" i="66"/>
  <c r="T33" i="66"/>
  <c r="P33" i="66"/>
  <c r="N33" i="66"/>
  <c r="H33" i="66"/>
  <c r="D33" i="66"/>
  <c r="L33" i="66" s="1"/>
  <c r="B33" i="66"/>
  <c r="T32" i="66"/>
  <c r="P32" i="66"/>
  <c r="X32" i="66" s="1"/>
  <c r="Z32" i="66" s="1"/>
  <c r="H32" i="66"/>
  <c r="N32" i="66" s="1"/>
  <c r="D32" i="66"/>
  <c r="L32" i="66" s="1"/>
  <c r="B32" i="66"/>
  <c r="T31" i="66"/>
  <c r="X31" i="66" s="1"/>
  <c r="P31" i="66"/>
  <c r="H31" i="66"/>
  <c r="D31" i="66"/>
  <c r="L31" i="66" s="1"/>
  <c r="B31" i="66"/>
  <c r="X30" i="66"/>
  <c r="Z30" i="66" s="1"/>
  <c r="T30" i="66"/>
  <c r="P30" i="66"/>
  <c r="L30" i="66"/>
  <c r="H30" i="66"/>
  <c r="N30" i="66" s="1"/>
  <c r="D30" i="66"/>
  <c r="B30" i="66"/>
  <c r="T29" i="66"/>
  <c r="P29" i="66"/>
  <c r="X29" i="66" s="1"/>
  <c r="Z29" i="66" s="1"/>
  <c r="N29" i="66"/>
  <c r="L29" i="66"/>
  <c r="H29" i="66"/>
  <c r="D29" i="66"/>
  <c r="B29" i="66"/>
  <c r="T28" i="66"/>
  <c r="Z28" i="66" s="1"/>
  <c r="P28" i="66"/>
  <c r="X28" i="66" s="1"/>
  <c r="N28" i="66"/>
  <c r="H28" i="66"/>
  <c r="D28" i="66"/>
  <c r="L28" i="66" s="1"/>
  <c r="B28" i="66"/>
  <c r="T27" i="66"/>
  <c r="P27" i="66"/>
  <c r="H27" i="66"/>
  <c r="L27" i="66" s="1"/>
  <c r="D27" i="66"/>
  <c r="B27" i="66"/>
  <c r="X26" i="66"/>
  <c r="T26" i="66"/>
  <c r="Z26" i="66" s="1"/>
  <c r="P26" i="66"/>
  <c r="L26" i="66"/>
  <c r="N26" i="66" s="1"/>
  <c r="H26" i="66"/>
  <c r="D26" i="66"/>
  <c r="B26" i="66"/>
  <c r="Z25" i="66"/>
  <c r="X25" i="66"/>
  <c r="T25" i="66"/>
  <c r="P25" i="66"/>
  <c r="H25" i="66"/>
  <c r="D25" i="66"/>
  <c r="L25" i="66" s="1"/>
  <c r="N25" i="66" s="1"/>
  <c r="B25" i="66"/>
  <c r="T24" i="66"/>
  <c r="P24" i="66"/>
  <c r="X24" i="66" s="1"/>
  <c r="Z24" i="66" s="1"/>
  <c r="H24" i="66"/>
  <c r="N24" i="66" s="1"/>
  <c r="D24" i="66"/>
  <c r="L24" i="66" s="1"/>
  <c r="B24" i="66"/>
  <c r="T23" i="66"/>
  <c r="X23" i="66" s="1"/>
  <c r="P23" i="66"/>
  <c r="H23" i="66"/>
  <c r="D23" i="66"/>
  <c r="B23" i="66"/>
  <c r="X22" i="66"/>
  <c r="Z22" i="66" s="1"/>
  <c r="T22" i="66"/>
  <c r="P22" i="66"/>
  <c r="L22" i="66"/>
  <c r="H22" i="66"/>
  <c r="D22" i="66"/>
  <c r="B22" i="66"/>
  <c r="Z21" i="66"/>
  <c r="T21" i="66"/>
  <c r="P21" i="66"/>
  <c r="X21" i="66" s="1"/>
  <c r="N21" i="66"/>
  <c r="L21" i="66"/>
  <c r="H21" i="66"/>
  <c r="D21" i="66"/>
  <c r="B21" i="66"/>
  <c r="T20" i="66"/>
  <c r="Z20" i="66" s="1"/>
  <c r="P20" i="66"/>
  <c r="X20" i="66" s="1"/>
  <c r="H20" i="66"/>
  <c r="D20" i="66"/>
  <c r="L20" i="66" s="1"/>
  <c r="N20" i="66" s="1"/>
  <c r="B20" i="66"/>
  <c r="T19" i="66"/>
  <c r="P19" i="66"/>
  <c r="X19" i="66" s="1"/>
  <c r="H19" i="66"/>
  <c r="L19" i="66" s="1"/>
  <c r="D19" i="66"/>
  <c r="B19" i="66"/>
  <c r="X18" i="66"/>
  <c r="T18" i="66"/>
  <c r="P18" i="66"/>
  <c r="L18" i="66"/>
  <c r="N18" i="66" s="1"/>
  <c r="H18" i="66"/>
  <c r="D18" i="66"/>
  <c r="B18" i="66"/>
  <c r="Z17" i="66"/>
  <c r="X17" i="66"/>
  <c r="T17" i="66"/>
  <c r="P17" i="66"/>
  <c r="N17" i="66"/>
  <c r="H17" i="66"/>
  <c r="D17" i="66"/>
  <c r="L17" i="66" s="1"/>
  <c r="B17" i="66"/>
  <c r="T16" i="66"/>
  <c r="P16" i="66"/>
  <c r="X16" i="66" s="1"/>
  <c r="Z16" i="66" s="1"/>
  <c r="H16" i="66"/>
  <c r="D16" i="66"/>
  <c r="B16" i="66"/>
  <c r="T15" i="66"/>
  <c r="X15" i="66" s="1"/>
  <c r="P15" i="66"/>
  <c r="H15" i="66"/>
  <c r="D15" i="66"/>
  <c r="B15" i="66"/>
  <c r="X14" i="66"/>
  <c r="Z14" i="66" s="1"/>
  <c r="T14" i="66"/>
  <c r="P14" i="66"/>
  <c r="L14" i="66"/>
  <c r="H14" i="66"/>
  <c r="D14" i="66"/>
  <c r="B14" i="66"/>
  <c r="T13" i="66"/>
  <c r="T12" i="66" s="1"/>
  <c r="P13" i="66"/>
  <c r="X13" i="66" s="1"/>
  <c r="Z13" i="66" s="1"/>
  <c r="N13" i="66"/>
  <c r="L13" i="66"/>
  <c r="H13" i="66"/>
  <c r="D13" i="66"/>
  <c r="B13" i="66"/>
  <c r="D6" i="66"/>
  <c r="D4" i="66"/>
  <c r="Z61" i="65"/>
  <c r="X61" i="65"/>
  <c r="N61" i="65"/>
  <c r="L61" i="65"/>
  <c r="T57" i="65"/>
  <c r="Z57" i="65" s="1"/>
  <c r="P57" i="65"/>
  <c r="X57" i="65" s="1"/>
  <c r="H57" i="65"/>
  <c r="N57" i="65" s="1"/>
  <c r="D57" i="65"/>
  <c r="L57" i="65" s="1"/>
  <c r="Z55" i="65"/>
  <c r="X55" i="65"/>
  <c r="N55" i="65"/>
  <c r="L55" i="65"/>
  <c r="B55" i="65"/>
  <c r="Z54" i="65"/>
  <c r="X54" i="65"/>
  <c r="T54" i="65"/>
  <c r="P54" i="65"/>
  <c r="H54" i="65"/>
  <c r="N54" i="65" s="1"/>
  <c r="D54" i="65"/>
  <c r="B54" i="65"/>
  <c r="X53" i="65"/>
  <c r="Z53" i="65" s="1"/>
  <c r="N53" i="65"/>
  <c r="L53" i="65"/>
  <c r="B53" i="65"/>
  <c r="T52" i="65"/>
  <c r="P52" i="65"/>
  <c r="H52" i="65"/>
  <c r="D52" i="65"/>
  <c r="L52" i="65" s="1"/>
  <c r="N52" i="65" s="1"/>
  <c r="B52" i="65"/>
  <c r="Z51" i="65"/>
  <c r="X51" i="65"/>
  <c r="N51" i="65"/>
  <c r="L51" i="65"/>
  <c r="B51" i="65"/>
  <c r="Z50" i="65"/>
  <c r="X50" i="65"/>
  <c r="N50" i="65"/>
  <c r="L50" i="65"/>
  <c r="B50" i="65"/>
  <c r="T49" i="65"/>
  <c r="P49" i="65"/>
  <c r="H49" i="65"/>
  <c r="N49" i="65" s="1"/>
  <c r="D49" i="65"/>
  <c r="L49" i="65" s="1"/>
  <c r="B49" i="65"/>
  <c r="X48" i="65"/>
  <c r="Z48" i="65" s="1"/>
  <c r="N48" i="65"/>
  <c r="L48" i="65"/>
  <c r="B48" i="65"/>
  <c r="X47" i="65"/>
  <c r="Z47" i="65" s="1"/>
  <c r="L47" i="65"/>
  <c r="N47" i="65" s="1"/>
  <c r="B47" i="65"/>
  <c r="T46" i="65"/>
  <c r="R46" i="65"/>
  <c r="P46" i="65"/>
  <c r="X46" i="65" s="1"/>
  <c r="Z46" i="65" s="1"/>
  <c r="H46" i="65"/>
  <c r="N46" i="65" s="1"/>
  <c r="D46" i="65"/>
  <c r="L46" i="65" s="1"/>
  <c r="B46" i="65"/>
  <c r="Z45" i="65"/>
  <c r="X45" i="65"/>
  <c r="N45" i="65"/>
  <c r="L45" i="65"/>
  <c r="B45" i="65"/>
  <c r="X44" i="65"/>
  <c r="Z44" i="65" s="1"/>
  <c r="N44" i="65"/>
  <c r="L44" i="65"/>
  <c r="B44" i="65"/>
  <c r="T43" i="65"/>
  <c r="Z43" i="65" s="1"/>
  <c r="P43" i="65"/>
  <c r="X43" i="65" s="1"/>
  <c r="H43" i="65"/>
  <c r="N43" i="65" s="1"/>
  <c r="D43" i="65"/>
  <c r="L43" i="65" s="1"/>
  <c r="B43" i="65"/>
  <c r="Z42" i="65"/>
  <c r="X42" i="65"/>
  <c r="N42" i="65"/>
  <c r="L42" i="65"/>
  <c r="B42" i="65"/>
  <c r="T41" i="65"/>
  <c r="Z41" i="65" s="1"/>
  <c r="P41" i="65"/>
  <c r="X41" i="65" s="1"/>
  <c r="N41" i="65"/>
  <c r="L41" i="65"/>
  <c r="H41" i="65"/>
  <c r="D41" i="65"/>
  <c r="B41" i="65"/>
  <c r="Z40" i="65"/>
  <c r="X40" i="65"/>
  <c r="N40" i="65"/>
  <c r="L40" i="65"/>
  <c r="B40" i="65"/>
  <c r="X39" i="65"/>
  <c r="Z39" i="65" s="1"/>
  <c r="T39" i="65"/>
  <c r="P39" i="65"/>
  <c r="H39" i="65"/>
  <c r="D39" i="65"/>
  <c r="B39" i="65"/>
  <c r="Z38" i="65"/>
  <c r="X38" i="65"/>
  <c r="N38" i="65"/>
  <c r="L38" i="65"/>
  <c r="B38" i="65"/>
  <c r="T37" i="65"/>
  <c r="P37" i="65"/>
  <c r="H37" i="65"/>
  <c r="N37" i="65" s="1"/>
  <c r="D37" i="65"/>
  <c r="L37" i="65" s="1"/>
  <c r="B37" i="65"/>
  <c r="Z36" i="65"/>
  <c r="X36" i="65"/>
  <c r="N36" i="65"/>
  <c r="L36" i="65"/>
  <c r="B36" i="65"/>
  <c r="T35" i="65"/>
  <c r="Z35" i="65" s="1"/>
  <c r="P35" i="65"/>
  <c r="X35" i="65" s="1"/>
  <c r="H35" i="65"/>
  <c r="N35" i="65" s="1"/>
  <c r="D35" i="65"/>
  <c r="L35" i="65" s="1"/>
  <c r="B35" i="65"/>
  <c r="Z34" i="65"/>
  <c r="X34" i="65"/>
  <c r="N34" i="65"/>
  <c r="L34" i="65"/>
  <c r="B34" i="65"/>
  <c r="T33" i="65"/>
  <c r="Z33" i="65" s="1"/>
  <c r="P33" i="65"/>
  <c r="X33" i="65" s="1"/>
  <c r="N33" i="65"/>
  <c r="L33" i="65"/>
  <c r="H33" i="65"/>
  <c r="D33" i="65"/>
  <c r="B33" i="65"/>
  <c r="Z32" i="65"/>
  <c r="X32" i="65"/>
  <c r="N32" i="65"/>
  <c r="L32" i="65"/>
  <c r="B32" i="65"/>
  <c r="Z31" i="65"/>
  <c r="X31" i="65"/>
  <c r="T31" i="65"/>
  <c r="P31" i="65"/>
  <c r="H31" i="65"/>
  <c r="D31" i="65"/>
  <c r="B31" i="65"/>
  <c r="Z30" i="65"/>
  <c r="X30" i="65"/>
  <c r="N30" i="65"/>
  <c r="L30" i="65"/>
  <c r="B30" i="65"/>
  <c r="Z29" i="65"/>
  <c r="X29" i="65"/>
  <c r="R29" i="65"/>
  <c r="N29" i="65"/>
  <c r="L29" i="65"/>
  <c r="B29" i="65"/>
  <c r="T28" i="65"/>
  <c r="Z28" i="65" s="1"/>
  <c r="P28" i="65"/>
  <c r="N28" i="65"/>
  <c r="H28" i="65"/>
  <c r="D28" i="65"/>
  <c r="L28" i="65" s="1"/>
  <c r="B28" i="65"/>
  <c r="Z27" i="65"/>
  <c r="X27" i="65"/>
  <c r="N27" i="65"/>
  <c r="L27" i="65"/>
  <c r="B27" i="65"/>
  <c r="Z26" i="65"/>
  <c r="X26" i="65"/>
  <c r="N26" i="65"/>
  <c r="L26" i="65"/>
  <c r="B26" i="65"/>
  <c r="T25" i="65"/>
  <c r="P25" i="65"/>
  <c r="H25" i="65"/>
  <c r="N25" i="65" s="1"/>
  <c r="D25" i="65"/>
  <c r="L25" i="65" s="1"/>
  <c r="B25" i="65"/>
  <c r="T24" i="65" a="1"/>
  <c r="T24" i="65" s="1"/>
  <c r="P24" i="65" a="1"/>
  <c r="P24" i="65" s="1"/>
  <c r="X24" i="65" s="1"/>
  <c r="H24" i="65" a="1"/>
  <c r="H24" i="65" s="1"/>
  <c r="D24" i="65" a="1"/>
  <c r="D24" i="65" s="1"/>
  <c r="L24" i="65" s="1"/>
  <c r="Z20" i="65"/>
  <c r="X20" i="65"/>
  <c r="N20" i="65"/>
  <c r="L20" i="65"/>
  <c r="B20" i="65"/>
  <c r="Z19" i="65"/>
  <c r="X19" i="65"/>
  <c r="N19" i="65"/>
  <c r="L19" i="65"/>
  <c r="B19" i="65"/>
  <c r="Z18" i="65"/>
  <c r="T18" i="65"/>
  <c r="P18" i="65"/>
  <c r="X18" i="65" s="1"/>
  <c r="N18" i="65"/>
  <c r="H18" i="65"/>
  <c r="D18" i="65"/>
  <c r="L18" i="65" s="1"/>
  <c r="Z16" i="65"/>
  <c r="X16" i="65"/>
  <c r="T16" i="65"/>
  <c r="P16" i="65"/>
  <c r="N16" i="65"/>
  <c r="L16" i="65"/>
  <c r="H16" i="65"/>
  <c r="D16" i="65"/>
  <c r="B16" i="65"/>
  <c r="Z15" i="65"/>
  <c r="T15" i="65"/>
  <c r="P15" i="65"/>
  <c r="X15" i="65" s="1"/>
  <c r="N15" i="65"/>
  <c r="H15" i="65"/>
  <c r="D15" i="65"/>
  <c r="L15" i="65" s="1"/>
  <c r="B15" i="65"/>
  <c r="T14" i="65"/>
  <c r="Z14" i="65" s="1"/>
  <c r="P14" i="65"/>
  <c r="P12" i="65" s="1"/>
  <c r="H14" i="65"/>
  <c r="N14" i="65" s="1"/>
  <c r="D14" i="65"/>
  <c r="L14" i="65" s="1"/>
  <c r="B14" i="65"/>
  <c r="X13" i="65"/>
  <c r="T13" i="65"/>
  <c r="Z13" i="65" s="1"/>
  <c r="P13" i="65"/>
  <c r="L13" i="65"/>
  <c r="H13" i="65"/>
  <c r="N13" i="65" s="1"/>
  <c r="D13" i="65"/>
  <c r="D12" i="65" s="1"/>
  <c r="B13" i="65"/>
  <c r="D6" i="65"/>
  <c r="D4" i="65"/>
  <c r="X86" i="64"/>
  <c r="Z86" i="64" s="1"/>
  <c r="N86" i="64"/>
  <c r="L86" i="64"/>
  <c r="T82" i="64"/>
  <c r="Z82" i="64" s="1"/>
  <c r="P82" i="64"/>
  <c r="X82" i="64" s="1"/>
  <c r="N82" i="64"/>
  <c r="L82" i="64"/>
  <c r="H82" i="64"/>
  <c r="D82" i="64"/>
  <c r="X80" i="64"/>
  <c r="Z80" i="64" s="1"/>
  <c r="N80" i="64"/>
  <c r="L80" i="64"/>
  <c r="B80" i="64"/>
  <c r="T79" i="64"/>
  <c r="Z79" i="64" s="1"/>
  <c r="P79" i="64"/>
  <c r="X79" i="64" s="1"/>
  <c r="H79" i="64"/>
  <c r="N79" i="64" s="1"/>
  <c r="D79" i="64"/>
  <c r="L79" i="64" s="1"/>
  <c r="B79" i="64"/>
  <c r="Z78" i="64"/>
  <c r="X78" i="64"/>
  <c r="N78" i="64"/>
  <c r="L78" i="64"/>
  <c r="B78" i="64"/>
  <c r="T77" i="64"/>
  <c r="Z77" i="64" s="1"/>
  <c r="P77" i="64"/>
  <c r="X77" i="64" s="1"/>
  <c r="L77" i="64"/>
  <c r="H77" i="64"/>
  <c r="D77" i="64"/>
  <c r="B77" i="64"/>
  <c r="Z76" i="64"/>
  <c r="X76" i="64"/>
  <c r="N76" i="64"/>
  <c r="L76" i="64"/>
  <c r="B76" i="64"/>
  <c r="X75" i="64"/>
  <c r="Z75" i="64" s="1"/>
  <c r="N75" i="64"/>
  <c r="L75" i="64"/>
  <c r="B75" i="64"/>
  <c r="Z74" i="64"/>
  <c r="X74" i="64"/>
  <c r="N74" i="64"/>
  <c r="L74" i="64"/>
  <c r="B74" i="64"/>
  <c r="Z73" i="64"/>
  <c r="X73" i="64"/>
  <c r="N73" i="64"/>
  <c r="L73" i="64"/>
  <c r="B73" i="64"/>
  <c r="T72" i="64"/>
  <c r="P72" i="64"/>
  <c r="X72" i="64" s="1"/>
  <c r="N72" i="64"/>
  <c r="H72" i="64"/>
  <c r="D72" i="64"/>
  <c r="L72" i="64" s="1"/>
  <c r="B72" i="64"/>
  <c r="Z71" i="64"/>
  <c r="X71" i="64"/>
  <c r="N71" i="64"/>
  <c r="L71" i="64"/>
  <c r="B71" i="64"/>
  <c r="Z70" i="64"/>
  <c r="T70" i="64"/>
  <c r="P70" i="64"/>
  <c r="X70" i="64" s="1"/>
  <c r="N70" i="64"/>
  <c r="L70" i="64"/>
  <c r="H70" i="64"/>
  <c r="D70" i="64"/>
  <c r="B70" i="64"/>
  <c r="Z69" i="64"/>
  <c r="X69" i="64"/>
  <c r="N69" i="64"/>
  <c r="L69" i="64"/>
  <c r="B69" i="64"/>
  <c r="X68" i="64"/>
  <c r="Z68" i="64" s="1"/>
  <c r="N68" i="64"/>
  <c r="L68" i="64"/>
  <c r="B68" i="64"/>
  <c r="X67" i="64"/>
  <c r="Z67" i="64" s="1"/>
  <c r="T67" i="64"/>
  <c r="P67" i="64"/>
  <c r="H67" i="64"/>
  <c r="D67" i="64"/>
  <c r="B67" i="64"/>
  <c r="Z66" i="64"/>
  <c r="X66" i="64"/>
  <c r="N66" i="64"/>
  <c r="L66" i="64"/>
  <c r="B66" i="64"/>
  <c r="Z65" i="64"/>
  <c r="X65" i="64"/>
  <c r="N65" i="64"/>
  <c r="L65" i="64"/>
  <c r="B65" i="64"/>
  <c r="T64" i="64"/>
  <c r="P64" i="64"/>
  <c r="X64" i="64" s="1"/>
  <c r="Z64" i="64" s="1"/>
  <c r="N64" i="64"/>
  <c r="L64" i="64"/>
  <c r="H64" i="64"/>
  <c r="D64" i="64"/>
  <c r="B64" i="64"/>
  <c r="Z63" i="64"/>
  <c r="X63" i="64"/>
  <c r="N63" i="64"/>
  <c r="L63" i="64"/>
  <c r="B63" i="64"/>
  <c r="Z62" i="64"/>
  <c r="X62" i="64"/>
  <c r="T62" i="64"/>
  <c r="P62" i="64"/>
  <c r="H62" i="64"/>
  <c r="N62" i="64" s="1"/>
  <c r="D62" i="64"/>
  <c r="L62" i="64" s="1"/>
  <c r="B62" i="64"/>
  <c r="X61" i="64"/>
  <c r="Z61" i="64" s="1"/>
  <c r="N61" i="64"/>
  <c r="L61" i="64"/>
  <c r="B61" i="64"/>
  <c r="T60" i="64"/>
  <c r="Z60" i="64" s="1"/>
  <c r="P60" i="64"/>
  <c r="X60" i="64" s="1"/>
  <c r="N60" i="64"/>
  <c r="H60" i="64"/>
  <c r="D60" i="64"/>
  <c r="L60" i="64" s="1"/>
  <c r="B60" i="64"/>
  <c r="Z59" i="64"/>
  <c r="X59" i="64"/>
  <c r="N59" i="64"/>
  <c r="L59" i="64"/>
  <c r="B59" i="64"/>
  <c r="Z58" i="64"/>
  <c r="T58" i="64"/>
  <c r="P58" i="64"/>
  <c r="X58" i="64" s="1"/>
  <c r="L58" i="64"/>
  <c r="H58" i="64"/>
  <c r="N58" i="64" s="1"/>
  <c r="D58" i="64"/>
  <c r="B58" i="64"/>
  <c r="Z57" i="64"/>
  <c r="X57" i="64"/>
  <c r="N57" i="64"/>
  <c r="L57" i="64"/>
  <c r="B57" i="64"/>
  <c r="Z56" i="64"/>
  <c r="X56" i="64"/>
  <c r="N56" i="64"/>
  <c r="L56" i="64"/>
  <c r="B56" i="64"/>
  <c r="Z55" i="64"/>
  <c r="X55" i="64"/>
  <c r="T55" i="64"/>
  <c r="P55" i="64"/>
  <c r="H55" i="64"/>
  <c r="D55" i="64"/>
  <c r="B55" i="64"/>
  <c r="Z54" i="64"/>
  <c r="X54" i="64"/>
  <c r="N54" i="64"/>
  <c r="L54" i="64"/>
  <c r="B54" i="64"/>
  <c r="T53" i="64"/>
  <c r="P53" i="64"/>
  <c r="H53" i="64"/>
  <c r="N53" i="64" s="1"/>
  <c r="D53" i="64"/>
  <c r="L53" i="64" s="1"/>
  <c r="B53" i="64"/>
  <c r="X52" i="64"/>
  <c r="Z52" i="64" s="1"/>
  <c r="N52" i="64"/>
  <c r="L52" i="64"/>
  <c r="B52" i="64"/>
  <c r="T51" i="64"/>
  <c r="P51" i="64"/>
  <c r="X51" i="64" s="1"/>
  <c r="H51" i="64"/>
  <c r="N51" i="64" s="1"/>
  <c r="D51" i="64"/>
  <c r="L51" i="64" s="1"/>
  <c r="B51" i="64"/>
  <c r="Z50" i="64"/>
  <c r="X50" i="64"/>
  <c r="N50" i="64"/>
  <c r="L50" i="64"/>
  <c r="B50" i="64"/>
  <c r="X49" i="64"/>
  <c r="Z49" i="64" s="1"/>
  <c r="N49" i="64"/>
  <c r="L49" i="64"/>
  <c r="B49" i="64"/>
  <c r="Z48" i="64"/>
  <c r="X48" i="64"/>
  <c r="N48" i="64"/>
  <c r="L48" i="64"/>
  <c r="B48" i="64"/>
  <c r="Z47" i="64"/>
  <c r="X47" i="64"/>
  <c r="N47" i="64"/>
  <c r="L47" i="64"/>
  <c r="B47" i="64"/>
  <c r="T46" i="64"/>
  <c r="P46" i="64"/>
  <c r="X46" i="64" s="1"/>
  <c r="Z46" i="64" s="1"/>
  <c r="H46" i="64"/>
  <c r="N46" i="64" s="1"/>
  <c r="D46" i="64"/>
  <c r="L46" i="64" s="1"/>
  <c r="B46" i="64"/>
  <c r="X45" i="64"/>
  <c r="Z45" i="64" s="1"/>
  <c r="N45" i="64"/>
  <c r="L45" i="64"/>
  <c r="B45" i="64"/>
  <c r="Z44" i="64"/>
  <c r="X44" i="64"/>
  <c r="N44" i="64"/>
  <c r="L44" i="64"/>
  <c r="B44" i="64"/>
  <c r="X43" i="64"/>
  <c r="Z43" i="64" s="1"/>
  <c r="N43" i="64"/>
  <c r="L43" i="64"/>
  <c r="B43" i="64"/>
  <c r="Z42" i="64"/>
  <c r="T42" i="64"/>
  <c r="P42" i="64"/>
  <c r="X42" i="64" s="1"/>
  <c r="N42" i="64"/>
  <c r="H42" i="64"/>
  <c r="D42" i="64"/>
  <c r="L42" i="64" s="1"/>
  <c r="B42" i="64"/>
  <c r="T41" i="64" a="1"/>
  <c r="T41" i="64" s="1"/>
  <c r="P41" i="64" a="1"/>
  <c r="P41" i="64"/>
  <c r="H41" i="64" a="1"/>
  <c r="H41" i="64" s="1"/>
  <c r="D41" i="64" a="1"/>
  <c r="D41" i="64" s="1"/>
  <c r="L41" i="64" s="1"/>
  <c r="X37" i="64"/>
  <c r="Z37" i="64" s="1"/>
  <c r="N37" i="64"/>
  <c r="L37" i="64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N32" i="64"/>
  <c r="L32" i="64"/>
  <c r="B32" i="64"/>
  <c r="X31" i="64"/>
  <c r="Z31" i="64" s="1"/>
  <c r="N31" i="64"/>
  <c r="L31" i="64"/>
  <c r="B31" i="64"/>
  <c r="Z30" i="64"/>
  <c r="X30" i="64"/>
  <c r="N30" i="64"/>
  <c r="L30" i="64"/>
  <c r="B30" i="64"/>
  <c r="X29" i="64"/>
  <c r="Z29" i="64" s="1"/>
  <c r="N29" i="64"/>
  <c r="L29" i="64"/>
  <c r="B29" i="64"/>
  <c r="Z28" i="64"/>
  <c r="X28" i="64"/>
  <c r="N28" i="64"/>
  <c r="L28" i="64"/>
  <c r="B28" i="64"/>
  <c r="X27" i="64"/>
  <c r="T27" i="64"/>
  <c r="Z27" i="64" s="1"/>
  <c r="P27" i="64"/>
  <c r="H27" i="64"/>
  <c r="D27" i="64"/>
  <c r="X25" i="64"/>
  <c r="T25" i="64"/>
  <c r="Z25" i="64" s="1"/>
  <c r="P25" i="64"/>
  <c r="L25" i="64"/>
  <c r="H25" i="64"/>
  <c r="N25" i="64" s="1"/>
  <c r="D25" i="64"/>
  <c r="B25" i="64"/>
  <c r="T24" i="64"/>
  <c r="X24" i="64" s="1"/>
  <c r="Z24" i="64" s="1"/>
  <c r="P24" i="64"/>
  <c r="N24" i="64"/>
  <c r="H24" i="64"/>
  <c r="L24" i="64" s="1"/>
  <c r="D24" i="64"/>
  <c r="B24" i="64"/>
  <c r="T23" i="64"/>
  <c r="P23" i="64"/>
  <c r="X23" i="64" s="1"/>
  <c r="Z23" i="64" s="1"/>
  <c r="N23" i="64"/>
  <c r="H23" i="64"/>
  <c r="D23" i="64"/>
  <c r="L23" i="64" s="1"/>
  <c r="B23" i="64"/>
  <c r="T22" i="64"/>
  <c r="Z22" i="64" s="1"/>
  <c r="P22" i="64"/>
  <c r="X22" i="64" s="1"/>
  <c r="H22" i="64"/>
  <c r="N22" i="64" s="1"/>
  <c r="D22" i="64"/>
  <c r="L22" i="64" s="1"/>
  <c r="B22" i="64"/>
  <c r="X21" i="64"/>
  <c r="T21" i="64"/>
  <c r="Z21" i="64" s="1"/>
  <c r="P21" i="64"/>
  <c r="L21" i="64"/>
  <c r="H21" i="64"/>
  <c r="N21" i="64" s="1"/>
  <c r="D21" i="64"/>
  <c r="B21" i="64"/>
  <c r="Z20" i="64"/>
  <c r="T20" i="64"/>
  <c r="X20" i="64" s="1"/>
  <c r="P20" i="64"/>
  <c r="N20" i="64"/>
  <c r="H20" i="64"/>
  <c r="L20" i="64" s="1"/>
  <c r="D20" i="64"/>
  <c r="B20" i="64"/>
  <c r="T19" i="64"/>
  <c r="P19" i="64"/>
  <c r="X19" i="64" s="1"/>
  <c r="Z19" i="64" s="1"/>
  <c r="N19" i="64"/>
  <c r="H19" i="64"/>
  <c r="D19" i="64"/>
  <c r="L19" i="64" s="1"/>
  <c r="B19" i="64"/>
  <c r="T18" i="64"/>
  <c r="Z18" i="64" s="1"/>
  <c r="P18" i="64"/>
  <c r="X18" i="64" s="1"/>
  <c r="H18" i="64"/>
  <c r="N18" i="64" s="1"/>
  <c r="D18" i="64"/>
  <c r="B18" i="64"/>
  <c r="X17" i="64"/>
  <c r="T17" i="64"/>
  <c r="Z17" i="64" s="1"/>
  <c r="P17" i="64"/>
  <c r="L17" i="64"/>
  <c r="H17" i="64"/>
  <c r="N17" i="64" s="1"/>
  <c r="D17" i="64"/>
  <c r="B17" i="64"/>
  <c r="T16" i="64"/>
  <c r="X16" i="64" s="1"/>
  <c r="Z16" i="64" s="1"/>
  <c r="P16" i="64"/>
  <c r="N16" i="64"/>
  <c r="H16" i="64"/>
  <c r="L16" i="64" s="1"/>
  <c r="D16" i="64"/>
  <c r="B16" i="64"/>
  <c r="T15" i="64"/>
  <c r="P15" i="64"/>
  <c r="X15" i="64" s="1"/>
  <c r="Z15" i="64" s="1"/>
  <c r="N15" i="64"/>
  <c r="H15" i="64"/>
  <c r="D15" i="64"/>
  <c r="L15" i="64" s="1"/>
  <c r="B15" i="64"/>
  <c r="T14" i="64"/>
  <c r="P14" i="64"/>
  <c r="H14" i="64"/>
  <c r="H12" i="64" s="1"/>
  <c r="D14" i="64"/>
  <c r="L14" i="64" s="1"/>
  <c r="B14" i="64"/>
  <c r="X13" i="64"/>
  <c r="T13" i="64"/>
  <c r="Z13" i="64" s="1"/>
  <c r="P13" i="64"/>
  <c r="L13" i="64"/>
  <c r="H13" i="64"/>
  <c r="N13" i="64" s="1"/>
  <c r="D13" i="64"/>
  <c r="D12" i="64" s="1"/>
  <c r="F33" i="64" s="1"/>
  <c r="B13" i="64"/>
  <c r="D6" i="64"/>
  <c r="D4" i="64"/>
  <c r="F45" i="63"/>
  <c r="V42" i="63"/>
  <c r="F42" i="63"/>
  <c r="Z40" i="63"/>
  <c r="X40" i="63"/>
  <c r="N40" i="63"/>
  <c r="L40" i="63"/>
  <c r="F38" i="63"/>
  <c r="Z36" i="63"/>
  <c r="V36" i="63"/>
  <c r="T36" i="63"/>
  <c r="P36" i="63"/>
  <c r="X36" i="63" s="1"/>
  <c r="N36" i="63"/>
  <c r="L36" i="63"/>
  <c r="H36" i="63"/>
  <c r="F36" i="63"/>
  <c r="D36" i="63"/>
  <c r="Z34" i="63"/>
  <c r="X34" i="63"/>
  <c r="N34" i="63"/>
  <c r="L34" i="63"/>
  <c r="B34" i="63"/>
  <c r="T33" i="63"/>
  <c r="Z33" i="63" s="1"/>
  <c r="P33" i="63"/>
  <c r="X33" i="63" s="1"/>
  <c r="H33" i="63"/>
  <c r="N33" i="63" s="1"/>
  <c r="D33" i="63"/>
  <c r="L33" i="63" s="1"/>
  <c r="B33" i="63"/>
  <c r="Z32" i="63"/>
  <c r="X32" i="63"/>
  <c r="N32" i="63"/>
  <c r="L32" i="63"/>
  <c r="B32" i="63"/>
  <c r="T31" i="63"/>
  <c r="Z31" i="63" s="1"/>
  <c r="P31" i="63"/>
  <c r="X31" i="63" s="1"/>
  <c r="L31" i="63"/>
  <c r="H31" i="63"/>
  <c r="N31" i="63" s="1"/>
  <c r="D31" i="63"/>
  <c r="B31" i="63"/>
  <c r="Z30" i="63"/>
  <c r="X30" i="63"/>
  <c r="V30" i="63"/>
  <c r="N30" i="63"/>
  <c r="L30" i="63"/>
  <c r="B30" i="63"/>
  <c r="X29" i="63"/>
  <c r="T29" i="63"/>
  <c r="Z29" i="63" s="1"/>
  <c r="P29" i="63"/>
  <c r="H29" i="63"/>
  <c r="D29" i="63"/>
  <c r="B29" i="63"/>
  <c r="Z28" i="63"/>
  <c r="X28" i="63"/>
  <c r="N28" i="63"/>
  <c r="L28" i="63"/>
  <c r="B28" i="63"/>
  <c r="T27" i="63"/>
  <c r="P27" i="63"/>
  <c r="H27" i="63"/>
  <c r="N27" i="63" s="1"/>
  <c r="D27" i="63"/>
  <c r="L27" i="63" s="1"/>
  <c r="B27" i="63"/>
  <c r="Z26" i="63"/>
  <c r="X26" i="63"/>
  <c r="N26" i="63"/>
  <c r="L26" i="63"/>
  <c r="B26" i="63"/>
  <c r="X25" i="63"/>
  <c r="Z25" i="63" s="1"/>
  <c r="N25" i="63"/>
  <c r="L25" i="63"/>
  <c r="F25" i="63"/>
  <c r="B25" i="63"/>
  <c r="Z24" i="63"/>
  <c r="X24" i="63"/>
  <c r="T24" i="63"/>
  <c r="R24" i="63"/>
  <c r="P24" i="63"/>
  <c r="N24" i="63"/>
  <c r="H24" i="63"/>
  <c r="L24" i="63" s="1"/>
  <c r="F24" i="63"/>
  <c r="D24" i="63"/>
  <c r="B24" i="63"/>
  <c r="X23" i="63"/>
  <c r="Z23" i="63" s="1"/>
  <c r="R23" i="63"/>
  <c r="N23" i="63"/>
  <c r="L23" i="63"/>
  <c r="F23" i="63"/>
  <c r="B23" i="63"/>
  <c r="Z22" i="63"/>
  <c r="X22" i="63"/>
  <c r="N22" i="63"/>
  <c r="L22" i="63"/>
  <c r="J22" i="63"/>
  <c r="B22" i="63"/>
  <c r="Z21" i="63"/>
  <c r="X21" i="63"/>
  <c r="N21" i="63"/>
  <c r="L21" i="63"/>
  <c r="F21" i="63"/>
  <c r="B21" i="63"/>
  <c r="Z20" i="63"/>
  <c r="X20" i="63"/>
  <c r="N20" i="63"/>
  <c r="L20" i="63"/>
  <c r="B20" i="63"/>
  <c r="T19" i="63"/>
  <c r="P19" i="63"/>
  <c r="X19" i="63" s="1"/>
  <c r="H19" i="63"/>
  <c r="N19" i="63" s="1"/>
  <c r="D19" i="63"/>
  <c r="L19" i="63" s="1"/>
  <c r="B19" i="63"/>
  <c r="T18" i="63" a="1"/>
  <c r="T18" i="63"/>
  <c r="P18" i="63" a="1"/>
  <c r="P18" i="63" s="1"/>
  <c r="X18" i="63" s="1"/>
  <c r="Z18" i="63" s="1"/>
  <c r="N18" i="63"/>
  <c r="H18" i="63" a="1"/>
  <c r="H18" i="63"/>
  <c r="D18" i="63" a="1"/>
  <c r="D18" i="63" s="1"/>
  <c r="L18" i="63" s="1"/>
  <c r="R16" i="63"/>
  <c r="F16" i="63"/>
  <c r="D16" i="63"/>
  <c r="D38" i="63" s="1"/>
  <c r="Z14" i="63"/>
  <c r="V14" i="63"/>
  <c r="T14" i="63"/>
  <c r="R14" i="63"/>
  <c r="P14" i="63"/>
  <c r="X14" i="63" s="1"/>
  <c r="N14" i="63"/>
  <c r="L14" i="63"/>
  <c r="H14" i="63"/>
  <c r="F14" i="63"/>
  <c r="D14" i="63"/>
  <c r="T12" i="63"/>
  <c r="V31" i="63" s="1"/>
  <c r="P12" i="63"/>
  <c r="R32" i="63" s="1"/>
  <c r="H12" i="63"/>
  <c r="D12" i="63"/>
  <c r="F31" i="63" s="1"/>
  <c r="D6" i="63"/>
  <c r="D4" i="63"/>
  <c r="R106" i="62"/>
  <c r="J103" i="62"/>
  <c r="Z101" i="62"/>
  <c r="X101" i="62"/>
  <c r="N101" i="62"/>
  <c r="L101" i="62"/>
  <c r="R99" i="62"/>
  <c r="T97" i="62"/>
  <c r="P97" i="62"/>
  <c r="X97" i="62" s="1"/>
  <c r="Z97" i="62" s="1"/>
  <c r="J97" i="62"/>
  <c r="H97" i="62"/>
  <c r="L97" i="62" s="1"/>
  <c r="N97" i="62" s="1"/>
  <c r="D97" i="62"/>
  <c r="B97" i="62"/>
  <c r="T96" i="62"/>
  <c r="P96" i="62"/>
  <c r="H96" i="62"/>
  <c r="D96" i="62"/>
  <c r="L96" i="62" s="1"/>
  <c r="X94" i="62"/>
  <c r="Z94" i="62" s="1"/>
  <c r="L94" i="62"/>
  <c r="N94" i="62" s="1"/>
  <c r="B94" i="62"/>
  <c r="T93" i="62"/>
  <c r="P93" i="62"/>
  <c r="X93" i="62" s="1"/>
  <c r="Z93" i="62" s="1"/>
  <c r="H93" i="62"/>
  <c r="D93" i="62"/>
  <c r="L93" i="62" s="1"/>
  <c r="N93" i="62" s="1"/>
  <c r="B93" i="62"/>
  <c r="X92" i="62"/>
  <c r="Z92" i="62" s="1"/>
  <c r="N92" i="62"/>
  <c r="L92" i="62"/>
  <c r="B92" i="62"/>
  <c r="Z91" i="62"/>
  <c r="X91" i="62"/>
  <c r="N91" i="62"/>
  <c r="L91" i="62"/>
  <c r="B91" i="62"/>
  <c r="T90" i="62"/>
  <c r="P90" i="62"/>
  <c r="L90" i="62"/>
  <c r="H90" i="62"/>
  <c r="N90" i="62" s="1"/>
  <c r="D90" i="62"/>
  <c r="B90" i="62"/>
  <c r="Z89" i="62"/>
  <c r="X89" i="62"/>
  <c r="V89" i="62"/>
  <c r="N89" i="62"/>
  <c r="L89" i="62"/>
  <c r="B89" i="62"/>
  <c r="X88" i="62"/>
  <c r="T88" i="62"/>
  <c r="Z88" i="62" s="1"/>
  <c r="P88" i="62"/>
  <c r="H88" i="62"/>
  <c r="D88" i="62"/>
  <c r="B88" i="62"/>
  <c r="Z87" i="62"/>
  <c r="X87" i="62"/>
  <c r="N87" i="62"/>
  <c r="L87" i="62"/>
  <c r="B87" i="62"/>
  <c r="T86" i="62"/>
  <c r="P86" i="62"/>
  <c r="H86" i="62"/>
  <c r="N86" i="62" s="1"/>
  <c r="D86" i="62"/>
  <c r="L86" i="62" s="1"/>
  <c r="B86" i="62"/>
  <c r="Z85" i="62"/>
  <c r="X85" i="62"/>
  <c r="N85" i="62"/>
  <c r="L85" i="62"/>
  <c r="J85" i="62"/>
  <c r="B85" i="62"/>
  <c r="X84" i="62"/>
  <c r="Z84" i="62" s="1"/>
  <c r="N84" i="62"/>
  <c r="L84" i="62"/>
  <c r="B84" i="62"/>
  <c r="Z83" i="62"/>
  <c r="X83" i="62"/>
  <c r="N83" i="62"/>
  <c r="L83" i="62"/>
  <c r="B83" i="62"/>
  <c r="X82" i="62"/>
  <c r="Z82" i="62" s="1"/>
  <c r="R82" i="62"/>
  <c r="N82" i="62"/>
  <c r="L82" i="62"/>
  <c r="B82" i="62"/>
  <c r="Z81" i="62"/>
  <c r="X81" i="62"/>
  <c r="V81" i="62"/>
  <c r="N81" i="62"/>
  <c r="L81" i="62"/>
  <c r="J81" i="62"/>
  <c r="B81" i="62"/>
  <c r="X80" i="62"/>
  <c r="Z80" i="62" s="1"/>
  <c r="N80" i="62"/>
  <c r="L80" i="62"/>
  <c r="B80" i="62"/>
  <c r="T79" i="62"/>
  <c r="P79" i="62"/>
  <c r="X79" i="62" s="1"/>
  <c r="Z79" i="62" s="1"/>
  <c r="J79" i="62"/>
  <c r="H79" i="62"/>
  <c r="D79" i="62"/>
  <c r="L79" i="62" s="1"/>
  <c r="N79" i="62" s="1"/>
  <c r="B79" i="62"/>
  <c r="Z78" i="62"/>
  <c r="X78" i="62"/>
  <c r="R78" i="62"/>
  <c r="N78" i="62"/>
  <c r="L78" i="62"/>
  <c r="B78" i="62"/>
  <c r="Z77" i="62"/>
  <c r="V77" i="62"/>
  <c r="T77" i="62"/>
  <c r="P77" i="62"/>
  <c r="X77" i="62" s="1"/>
  <c r="N77" i="62"/>
  <c r="L77" i="62"/>
  <c r="H77" i="62"/>
  <c r="D77" i="62"/>
  <c r="B77" i="62"/>
  <c r="X76" i="62"/>
  <c r="Z76" i="62" s="1"/>
  <c r="L76" i="62"/>
  <c r="N76" i="62" s="1"/>
  <c r="B76" i="62"/>
  <c r="Z75" i="62"/>
  <c r="X75" i="62"/>
  <c r="N75" i="62"/>
  <c r="L75" i="62"/>
  <c r="B75" i="62"/>
  <c r="X74" i="62"/>
  <c r="Z74" i="62" s="1"/>
  <c r="R74" i="62"/>
  <c r="N74" i="62"/>
  <c r="L74" i="62"/>
  <c r="B74" i="62"/>
  <c r="V73" i="62"/>
  <c r="T73" i="62"/>
  <c r="P73" i="62"/>
  <c r="X73" i="62" s="1"/>
  <c r="Z73" i="62" s="1"/>
  <c r="N73" i="62"/>
  <c r="L73" i="62"/>
  <c r="H73" i="62"/>
  <c r="D73" i="62"/>
  <c r="B73" i="62"/>
  <c r="X72" i="62"/>
  <c r="Z72" i="62" s="1"/>
  <c r="L72" i="62"/>
  <c r="N72" i="62" s="1"/>
  <c r="B72" i="62"/>
  <c r="Z71" i="62"/>
  <c r="X71" i="62"/>
  <c r="N71" i="62"/>
  <c r="L71" i="62"/>
  <c r="B71" i="62"/>
  <c r="X70" i="62"/>
  <c r="Z70" i="62" s="1"/>
  <c r="R70" i="62"/>
  <c r="L70" i="62"/>
  <c r="N70" i="62" s="1"/>
  <c r="B70" i="62"/>
  <c r="Z69" i="62"/>
  <c r="X69" i="62"/>
  <c r="V69" i="62"/>
  <c r="N69" i="62"/>
  <c r="L69" i="62"/>
  <c r="J69" i="62"/>
  <c r="B69" i="62"/>
  <c r="X68" i="62"/>
  <c r="T68" i="62"/>
  <c r="Z68" i="62" s="1"/>
  <c r="P68" i="62"/>
  <c r="H68" i="62"/>
  <c r="D68" i="62"/>
  <c r="L68" i="62" s="1"/>
  <c r="B68" i="62"/>
  <c r="Z67" i="62"/>
  <c r="X67" i="62"/>
  <c r="N67" i="62"/>
  <c r="L67" i="62"/>
  <c r="B67" i="62"/>
  <c r="T66" i="62"/>
  <c r="P66" i="62"/>
  <c r="X66" i="62" s="1"/>
  <c r="H66" i="62"/>
  <c r="D66" i="62"/>
  <c r="L66" i="62" s="1"/>
  <c r="B66" i="62"/>
  <c r="Z65" i="62"/>
  <c r="X65" i="62"/>
  <c r="N65" i="62"/>
  <c r="L65" i="62"/>
  <c r="J65" i="62"/>
  <c r="B65" i="62"/>
  <c r="T64" i="62"/>
  <c r="Z64" i="62" s="1"/>
  <c r="P64" i="62"/>
  <c r="X64" i="62" s="1"/>
  <c r="H64" i="62"/>
  <c r="N64" i="62" s="1"/>
  <c r="D64" i="62"/>
  <c r="B64" i="62"/>
  <c r="Z63" i="62"/>
  <c r="X63" i="62"/>
  <c r="N63" i="62"/>
  <c r="L63" i="62"/>
  <c r="B63" i="62"/>
  <c r="T62" i="62"/>
  <c r="P62" i="62"/>
  <c r="L62" i="62"/>
  <c r="H62" i="62"/>
  <c r="D62" i="62"/>
  <c r="B62" i="62"/>
  <c r="Z61" i="62"/>
  <c r="X61" i="62"/>
  <c r="V61" i="62"/>
  <c r="N61" i="62"/>
  <c r="L61" i="62"/>
  <c r="J61" i="62"/>
  <c r="B61" i="62"/>
  <c r="X60" i="62"/>
  <c r="T60" i="62"/>
  <c r="Z60" i="62" s="1"/>
  <c r="P60" i="62"/>
  <c r="H60" i="62"/>
  <c r="N60" i="62" s="1"/>
  <c r="D60" i="62"/>
  <c r="L60" i="62" s="1"/>
  <c r="B60" i="62"/>
  <c r="Z59" i="62"/>
  <c r="X59" i="62"/>
  <c r="N59" i="62"/>
  <c r="L59" i="62"/>
  <c r="B59" i="62"/>
  <c r="T58" i="62"/>
  <c r="P58" i="62"/>
  <c r="X58" i="62" s="1"/>
  <c r="H58" i="62"/>
  <c r="N58" i="62" s="1"/>
  <c r="D58" i="62"/>
  <c r="L58" i="62" s="1"/>
  <c r="B58" i="62"/>
  <c r="Z57" i="62"/>
  <c r="X57" i="62"/>
  <c r="V57" i="62"/>
  <c r="N57" i="62"/>
  <c r="L57" i="62"/>
  <c r="J57" i="62"/>
  <c r="B57" i="62"/>
  <c r="T56" i="62"/>
  <c r="Z56" i="62" s="1"/>
  <c r="P56" i="62"/>
  <c r="X56" i="62" s="1"/>
  <c r="H56" i="62"/>
  <c r="D56" i="62"/>
  <c r="B56" i="62"/>
  <c r="Z55" i="62"/>
  <c r="X55" i="62"/>
  <c r="N55" i="62"/>
  <c r="L55" i="62"/>
  <c r="B55" i="62"/>
  <c r="T54" i="62"/>
  <c r="P54" i="62"/>
  <c r="L54" i="62"/>
  <c r="H54" i="62"/>
  <c r="N54" i="62" s="1"/>
  <c r="D54" i="62"/>
  <c r="B54" i="62"/>
  <c r="Z53" i="62"/>
  <c r="X53" i="62"/>
  <c r="V53" i="62"/>
  <c r="N53" i="62"/>
  <c r="L53" i="62"/>
  <c r="J53" i="62"/>
  <c r="B53" i="62"/>
  <c r="X52" i="62"/>
  <c r="T52" i="62"/>
  <c r="Z52" i="62" s="1"/>
  <c r="P52" i="62"/>
  <c r="H52" i="62"/>
  <c r="N52" i="62" s="1"/>
  <c r="D52" i="62"/>
  <c r="B52" i="62"/>
  <c r="Z51" i="62"/>
  <c r="X51" i="62"/>
  <c r="N51" i="62"/>
  <c r="L51" i="62"/>
  <c r="B51" i="62"/>
  <c r="Z50" i="62"/>
  <c r="X50" i="62"/>
  <c r="R50" i="62"/>
  <c r="N50" i="62"/>
  <c r="L50" i="62"/>
  <c r="B50" i="62"/>
  <c r="Z49" i="62"/>
  <c r="V49" i="62"/>
  <c r="T49" i="62"/>
  <c r="P49" i="62"/>
  <c r="X49" i="62" s="1"/>
  <c r="N49" i="62"/>
  <c r="L49" i="62"/>
  <c r="H49" i="62"/>
  <c r="D49" i="62"/>
  <c r="B49" i="62"/>
  <c r="X48" i="62"/>
  <c r="Z48" i="62" s="1"/>
  <c r="L48" i="62"/>
  <c r="N48" i="62" s="1"/>
  <c r="B48" i="62"/>
  <c r="Z47" i="62"/>
  <c r="X47" i="62"/>
  <c r="N47" i="62"/>
  <c r="L47" i="62"/>
  <c r="B47" i="62"/>
  <c r="T46" i="62"/>
  <c r="P46" i="62"/>
  <c r="H46" i="62"/>
  <c r="D46" i="62"/>
  <c r="L46" i="62" s="1"/>
  <c r="B46" i="62"/>
  <c r="Z45" i="62"/>
  <c r="X45" i="62"/>
  <c r="V45" i="62"/>
  <c r="N45" i="62"/>
  <c r="L45" i="62"/>
  <c r="J45" i="62"/>
  <c r="B45" i="62"/>
  <c r="T44" i="62"/>
  <c r="Z44" i="62" s="1"/>
  <c r="P44" i="62"/>
  <c r="X44" i="62" s="1"/>
  <c r="H44" i="62"/>
  <c r="D44" i="62"/>
  <c r="B44" i="62"/>
  <c r="Z43" i="62"/>
  <c r="X43" i="62"/>
  <c r="N43" i="62"/>
  <c r="L43" i="62"/>
  <c r="B43" i="62"/>
  <c r="X42" i="62"/>
  <c r="Z42" i="62" s="1"/>
  <c r="L42" i="62"/>
  <c r="N42" i="62" s="1"/>
  <c r="F42" i="62"/>
  <c r="B42" i="62"/>
  <c r="V41" i="62"/>
  <c r="T41" i="62"/>
  <c r="P41" i="62"/>
  <c r="X41" i="62" s="1"/>
  <c r="Z41" i="62" s="1"/>
  <c r="J41" i="62"/>
  <c r="H41" i="62"/>
  <c r="D41" i="62"/>
  <c r="L41" i="62" s="1"/>
  <c r="N41" i="62" s="1"/>
  <c r="B41" i="62"/>
  <c r="X40" i="62"/>
  <c r="Z40" i="62" s="1"/>
  <c r="N40" i="62"/>
  <c r="L40" i="62"/>
  <c r="B40" i="62"/>
  <c r="T39" i="62"/>
  <c r="P39" i="62"/>
  <c r="X39" i="62" s="1"/>
  <c r="Z39" i="62" s="1"/>
  <c r="N39" i="62"/>
  <c r="J39" i="62"/>
  <c r="H39" i="62"/>
  <c r="D39" i="62"/>
  <c r="L39" i="62" s="1"/>
  <c r="B39" i="62"/>
  <c r="Z38" i="62"/>
  <c r="X38" i="62"/>
  <c r="R38" i="62"/>
  <c r="N38" i="62"/>
  <c r="L38" i="62"/>
  <c r="B38" i="62"/>
  <c r="Z37" i="62"/>
  <c r="X37" i="62"/>
  <c r="V37" i="62"/>
  <c r="N37" i="62"/>
  <c r="L37" i="62"/>
  <c r="J37" i="62"/>
  <c r="B37" i="62"/>
  <c r="X36" i="62"/>
  <c r="Z36" i="62" s="1"/>
  <c r="L36" i="62"/>
  <c r="N36" i="62" s="1"/>
  <c r="J36" i="62"/>
  <c r="B36" i="62"/>
  <c r="Z35" i="62"/>
  <c r="X35" i="62"/>
  <c r="N35" i="62"/>
  <c r="L35" i="62"/>
  <c r="J35" i="62"/>
  <c r="B35" i="62"/>
  <c r="X34" i="62"/>
  <c r="Z34" i="62" s="1"/>
  <c r="L34" i="62"/>
  <c r="N34" i="62" s="1"/>
  <c r="B34" i="62"/>
  <c r="Z33" i="62"/>
  <c r="X33" i="62"/>
  <c r="V33" i="62"/>
  <c r="N33" i="62"/>
  <c r="L33" i="62"/>
  <c r="J33" i="62"/>
  <c r="B33" i="62"/>
  <c r="X32" i="62"/>
  <c r="Z32" i="62" s="1"/>
  <c r="L32" i="62"/>
  <c r="N32" i="62" s="1"/>
  <c r="J32" i="62"/>
  <c r="B32" i="62"/>
  <c r="Z31" i="62"/>
  <c r="X31" i="62"/>
  <c r="T31" i="62"/>
  <c r="R31" i="62"/>
  <c r="P31" i="62"/>
  <c r="J31" i="62"/>
  <c r="H31" i="62"/>
  <c r="D31" i="62"/>
  <c r="L31" i="62" s="1"/>
  <c r="N31" i="62" s="1"/>
  <c r="B31" i="62"/>
  <c r="X30" i="62"/>
  <c r="Z30" i="62" s="1"/>
  <c r="L30" i="62"/>
  <c r="N30" i="62" s="1"/>
  <c r="B30" i="62"/>
  <c r="Z29" i="62"/>
  <c r="X29" i="62"/>
  <c r="V29" i="62"/>
  <c r="N29" i="62"/>
  <c r="L29" i="62"/>
  <c r="J29" i="62"/>
  <c r="B29" i="62"/>
  <c r="X28" i="62"/>
  <c r="Z28" i="62" s="1"/>
  <c r="L28" i="62"/>
  <c r="N28" i="62" s="1"/>
  <c r="J28" i="62"/>
  <c r="B28" i="62"/>
  <c r="Z27" i="62"/>
  <c r="X27" i="62"/>
  <c r="N27" i="62"/>
  <c r="L27" i="62"/>
  <c r="J27" i="62"/>
  <c r="B27" i="62"/>
  <c r="X26" i="62"/>
  <c r="Z26" i="62" s="1"/>
  <c r="R26" i="62"/>
  <c r="N26" i="62"/>
  <c r="L26" i="62"/>
  <c r="B26" i="62"/>
  <c r="Z25" i="62"/>
  <c r="X25" i="62"/>
  <c r="V25" i="62"/>
  <c r="N25" i="62"/>
  <c r="L25" i="62"/>
  <c r="J25" i="62"/>
  <c r="B25" i="62"/>
  <c r="X24" i="62"/>
  <c r="Z24" i="62" s="1"/>
  <c r="L24" i="62"/>
  <c r="N24" i="62" s="1"/>
  <c r="J24" i="62"/>
  <c r="B24" i="62"/>
  <c r="Z23" i="62"/>
  <c r="X23" i="62"/>
  <c r="N23" i="62"/>
  <c r="L23" i="62"/>
  <c r="J23" i="62"/>
  <c r="B23" i="62"/>
  <c r="X22" i="62"/>
  <c r="Z22" i="62" s="1"/>
  <c r="L22" i="62"/>
  <c r="N22" i="62" s="1"/>
  <c r="B22" i="62"/>
  <c r="Z21" i="62"/>
  <c r="X21" i="62"/>
  <c r="V21" i="62"/>
  <c r="N21" i="62"/>
  <c r="L21" i="62"/>
  <c r="J21" i="62"/>
  <c r="B21" i="62"/>
  <c r="T20" i="62"/>
  <c r="P20" i="62"/>
  <c r="X20" i="62" s="1"/>
  <c r="H20" i="62"/>
  <c r="D20" i="62"/>
  <c r="B20" i="62"/>
  <c r="Z19" i="62"/>
  <c r="T19" i="62" a="1"/>
  <c r="T19" i="62"/>
  <c r="P19" i="62" a="1"/>
  <c r="P19" i="62" s="1"/>
  <c r="X19" i="62" s="1"/>
  <c r="J19" i="62"/>
  <c r="H19" i="62" a="1"/>
  <c r="H19" i="62"/>
  <c r="D19" i="62" a="1"/>
  <c r="D19" i="62" s="1"/>
  <c r="L19" i="62" s="1"/>
  <c r="N19" i="62" s="1"/>
  <c r="J17" i="62"/>
  <c r="Z15" i="62"/>
  <c r="X15" i="62"/>
  <c r="V15" i="62"/>
  <c r="N15" i="62"/>
  <c r="L15" i="62"/>
  <c r="J15" i="62"/>
  <c r="B15" i="62"/>
  <c r="T14" i="62"/>
  <c r="P14" i="62"/>
  <c r="J14" i="62"/>
  <c r="H14" i="62"/>
  <c r="N14" i="62" s="1"/>
  <c r="D14" i="62"/>
  <c r="L14" i="62" s="1"/>
  <c r="T12" i="62"/>
  <c r="V94" i="62" s="1"/>
  <c r="P12" i="62"/>
  <c r="R91" i="62" s="1"/>
  <c r="N12" i="62"/>
  <c r="H12" i="62"/>
  <c r="J82" i="62" s="1"/>
  <c r="D12" i="62"/>
  <c r="F73" i="62" s="1"/>
  <c r="D6" i="62"/>
  <c r="D4" i="62"/>
  <c r="Z48" i="61"/>
  <c r="X48" i="61"/>
  <c r="N48" i="61"/>
  <c r="L48" i="61"/>
  <c r="X44" i="61"/>
  <c r="T44" i="61"/>
  <c r="Z44" i="61" s="1"/>
  <c r="P44" i="61"/>
  <c r="H44" i="61"/>
  <c r="D44" i="61"/>
  <c r="X42" i="61"/>
  <c r="Z42" i="61" s="1"/>
  <c r="L42" i="61"/>
  <c r="N42" i="61" s="1"/>
  <c r="B42" i="61"/>
  <c r="V41" i="61"/>
  <c r="T41" i="61"/>
  <c r="R41" i="61"/>
  <c r="P41" i="61"/>
  <c r="X41" i="61" s="1"/>
  <c r="Z41" i="61" s="1"/>
  <c r="N41" i="61"/>
  <c r="L41" i="61"/>
  <c r="J41" i="61"/>
  <c r="H41" i="61"/>
  <c r="D41" i="61"/>
  <c r="B41" i="61"/>
  <c r="Z40" i="61"/>
  <c r="X40" i="61"/>
  <c r="R40" i="61"/>
  <c r="N40" i="61"/>
  <c r="L40" i="61"/>
  <c r="F40" i="61"/>
  <c r="B40" i="61"/>
  <c r="Z39" i="61"/>
  <c r="X39" i="61"/>
  <c r="V39" i="61"/>
  <c r="T39" i="61"/>
  <c r="P39" i="61"/>
  <c r="N39" i="61"/>
  <c r="H39" i="61"/>
  <c r="D39" i="61"/>
  <c r="L39" i="61" s="1"/>
  <c r="B39" i="61"/>
  <c r="Z38" i="61"/>
  <c r="X38" i="61"/>
  <c r="N38" i="61"/>
  <c r="L38" i="61"/>
  <c r="B38" i="61"/>
  <c r="Z37" i="61"/>
  <c r="T37" i="61"/>
  <c r="R37" i="61"/>
  <c r="P37" i="61"/>
  <c r="X37" i="61" s="1"/>
  <c r="N37" i="61"/>
  <c r="J37" i="61"/>
  <c r="H37" i="61"/>
  <c r="D37" i="61"/>
  <c r="L37" i="61" s="1"/>
  <c r="B37" i="61"/>
  <c r="X36" i="61"/>
  <c r="Z36" i="61" s="1"/>
  <c r="R36" i="61"/>
  <c r="L36" i="61"/>
  <c r="N36" i="61" s="1"/>
  <c r="B36" i="61"/>
  <c r="V35" i="61"/>
  <c r="T35" i="61"/>
  <c r="P35" i="61"/>
  <c r="X35" i="61" s="1"/>
  <c r="Z35" i="61" s="1"/>
  <c r="N35" i="61"/>
  <c r="L35" i="61"/>
  <c r="J35" i="61"/>
  <c r="H35" i="61"/>
  <c r="F35" i="61"/>
  <c r="D35" i="61"/>
  <c r="B35" i="61"/>
  <c r="X34" i="61"/>
  <c r="Z34" i="61" s="1"/>
  <c r="L34" i="61"/>
  <c r="N34" i="61" s="1"/>
  <c r="B34" i="61"/>
  <c r="Z33" i="61"/>
  <c r="X33" i="61"/>
  <c r="V33" i="61"/>
  <c r="T33" i="61"/>
  <c r="R33" i="61"/>
  <c r="P33" i="61"/>
  <c r="N33" i="61"/>
  <c r="L33" i="61"/>
  <c r="J33" i="61"/>
  <c r="H33" i="61"/>
  <c r="D33" i="61"/>
  <c r="B33" i="61"/>
  <c r="X32" i="61"/>
  <c r="Z32" i="61" s="1"/>
  <c r="R32" i="61"/>
  <c r="L32" i="61"/>
  <c r="N32" i="61" s="1"/>
  <c r="F32" i="61"/>
  <c r="B32" i="61"/>
  <c r="Z31" i="61"/>
  <c r="X31" i="61"/>
  <c r="V31" i="61"/>
  <c r="N31" i="61"/>
  <c r="L31" i="61"/>
  <c r="J31" i="61"/>
  <c r="B31" i="61"/>
  <c r="Z30" i="61"/>
  <c r="X30" i="61"/>
  <c r="R30" i="61"/>
  <c r="N30" i="61"/>
  <c r="L30" i="61"/>
  <c r="B30" i="61"/>
  <c r="Z29" i="61"/>
  <c r="X29" i="61"/>
  <c r="V29" i="61"/>
  <c r="N29" i="61"/>
  <c r="L29" i="61"/>
  <c r="B29" i="61"/>
  <c r="T28" i="61"/>
  <c r="P28" i="61"/>
  <c r="H28" i="61"/>
  <c r="D28" i="61"/>
  <c r="L28" i="61" s="1"/>
  <c r="B28" i="61"/>
  <c r="Z27" i="61"/>
  <c r="X27" i="61"/>
  <c r="V27" i="61"/>
  <c r="N27" i="61"/>
  <c r="L27" i="61"/>
  <c r="J27" i="61"/>
  <c r="B27" i="61"/>
  <c r="X26" i="61"/>
  <c r="Z26" i="61" s="1"/>
  <c r="R26" i="61"/>
  <c r="L26" i="61"/>
  <c r="N26" i="61" s="1"/>
  <c r="B26" i="61"/>
  <c r="Z25" i="61"/>
  <c r="X25" i="61"/>
  <c r="V25" i="61"/>
  <c r="N25" i="61"/>
  <c r="L25" i="61"/>
  <c r="B25" i="61"/>
  <c r="X24" i="61"/>
  <c r="Z24" i="61" s="1"/>
  <c r="R24" i="61"/>
  <c r="L24" i="61"/>
  <c r="N24" i="61" s="1"/>
  <c r="F24" i="61"/>
  <c r="B24" i="61"/>
  <c r="Z23" i="61"/>
  <c r="X23" i="61"/>
  <c r="V23" i="61"/>
  <c r="N23" i="61"/>
  <c r="L23" i="61"/>
  <c r="J23" i="61"/>
  <c r="B23" i="61"/>
  <c r="X22" i="61"/>
  <c r="Z22" i="61" s="1"/>
  <c r="L22" i="61"/>
  <c r="N22" i="61" s="1"/>
  <c r="B22" i="61"/>
  <c r="Z21" i="61"/>
  <c r="X21" i="61"/>
  <c r="V21" i="61"/>
  <c r="N21" i="61"/>
  <c r="L21" i="61"/>
  <c r="J21" i="61"/>
  <c r="B21" i="61"/>
  <c r="X20" i="61"/>
  <c r="Z20" i="61" s="1"/>
  <c r="R20" i="61"/>
  <c r="L20" i="61"/>
  <c r="N20" i="61" s="1"/>
  <c r="F20" i="61"/>
  <c r="B20" i="61"/>
  <c r="Z19" i="61"/>
  <c r="X19" i="61"/>
  <c r="V19" i="61"/>
  <c r="T19" i="61"/>
  <c r="R19" i="61"/>
  <c r="P19" i="61"/>
  <c r="N19" i="61"/>
  <c r="H19" i="61"/>
  <c r="F19" i="61"/>
  <c r="D19" i="61"/>
  <c r="L19" i="61" s="1"/>
  <c r="B19" i="61"/>
  <c r="T18" i="61" a="1"/>
  <c r="T18" i="61" s="1"/>
  <c r="R18" i="61"/>
  <c r="P18" i="61" a="1"/>
  <c r="P18" i="61"/>
  <c r="L18" i="61"/>
  <c r="H18" i="61" a="1"/>
  <c r="H18" i="61" s="1"/>
  <c r="F18" i="61"/>
  <c r="D18" i="61" a="1"/>
  <c r="D18" i="61"/>
  <c r="H16" i="61"/>
  <c r="V14" i="61"/>
  <c r="T14" i="61"/>
  <c r="Z14" i="61" s="1"/>
  <c r="P14" i="61"/>
  <c r="H14" i="61"/>
  <c r="N14" i="61" s="1"/>
  <c r="D14" i="61"/>
  <c r="L14" i="61" s="1"/>
  <c r="X12" i="61"/>
  <c r="T12" i="61"/>
  <c r="V40" i="61" s="1"/>
  <c r="P12" i="61"/>
  <c r="R50" i="61" s="1"/>
  <c r="L12" i="61"/>
  <c r="H12" i="61"/>
  <c r="J53" i="61" s="1"/>
  <c r="D12" i="61"/>
  <c r="F29" i="61" s="1"/>
  <c r="D6" i="61"/>
  <c r="D4" i="61"/>
  <c r="Z48" i="60"/>
  <c r="X48" i="60"/>
  <c r="N48" i="60"/>
  <c r="L48" i="60"/>
  <c r="F48" i="60"/>
  <c r="T44" i="60"/>
  <c r="P44" i="60"/>
  <c r="H44" i="60"/>
  <c r="N44" i="60" s="1"/>
  <c r="D44" i="60"/>
  <c r="L44" i="60" s="1"/>
  <c r="X42" i="60"/>
  <c r="Z42" i="60" s="1"/>
  <c r="L42" i="60"/>
  <c r="N42" i="60" s="1"/>
  <c r="F42" i="60"/>
  <c r="B42" i="60"/>
  <c r="V41" i="60"/>
  <c r="T41" i="60"/>
  <c r="P41" i="60"/>
  <c r="X41" i="60" s="1"/>
  <c r="Z41" i="60" s="1"/>
  <c r="N41" i="60"/>
  <c r="H41" i="60"/>
  <c r="D41" i="60"/>
  <c r="L41" i="60" s="1"/>
  <c r="B41" i="60"/>
  <c r="X40" i="60"/>
  <c r="Z40" i="60" s="1"/>
  <c r="L40" i="60"/>
  <c r="N40" i="60" s="1"/>
  <c r="B40" i="60"/>
  <c r="Z39" i="60"/>
  <c r="X39" i="60"/>
  <c r="N39" i="60"/>
  <c r="L39" i="60"/>
  <c r="B39" i="60"/>
  <c r="Z38" i="60"/>
  <c r="X38" i="60"/>
  <c r="N38" i="60"/>
  <c r="L38" i="60"/>
  <c r="F38" i="60"/>
  <c r="B38" i="60"/>
  <c r="V37" i="60"/>
  <c r="T37" i="60"/>
  <c r="P37" i="60"/>
  <c r="X37" i="60" s="1"/>
  <c r="Z37" i="60" s="1"/>
  <c r="H37" i="60"/>
  <c r="D37" i="60"/>
  <c r="L37" i="60" s="1"/>
  <c r="N37" i="60" s="1"/>
  <c r="B37" i="60"/>
  <c r="X36" i="60"/>
  <c r="Z36" i="60" s="1"/>
  <c r="N36" i="60"/>
  <c r="L36" i="60"/>
  <c r="B36" i="60"/>
  <c r="Z35" i="60"/>
  <c r="X35" i="60"/>
  <c r="N35" i="60"/>
  <c r="L35" i="60"/>
  <c r="B35" i="60"/>
  <c r="T34" i="60"/>
  <c r="Z34" i="60" s="1"/>
  <c r="P34" i="60"/>
  <c r="X34" i="60" s="1"/>
  <c r="L34" i="60"/>
  <c r="H34" i="60"/>
  <c r="D34" i="60"/>
  <c r="B34" i="60"/>
  <c r="Z33" i="60"/>
  <c r="X33" i="60"/>
  <c r="V33" i="60"/>
  <c r="N33" i="60"/>
  <c r="L33" i="60"/>
  <c r="J33" i="60"/>
  <c r="B33" i="60"/>
  <c r="X32" i="60"/>
  <c r="T32" i="60"/>
  <c r="Z32" i="60" s="1"/>
  <c r="P32" i="60"/>
  <c r="H32" i="60"/>
  <c r="D32" i="60"/>
  <c r="B32" i="60"/>
  <c r="Z31" i="60"/>
  <c r="X31" i="60"/>
  <c r="V31" i="60"/>
  <c r="N31" i="60"/>
  <c r="L31" i="60"/>
  <c r="B31" i="60"/>
  <c r="T30" i="60"/>
  <c r="P30" i="60"/>
  <c r="H30" i="60"/>
  <c r="N30" i="60" s="1"/>
  <c r="D30" i="60"/>
  <c r="L30" i="60" s="1"/>
  <c r="B30" i="60"/>
  <c r="Z29" i="60"/>
  <c r="X29" i="60"/>
  <c r="V29" i="60"/>
  <c r="N29" i="60"/>
  <c r="L29" i="60"/>
  <c r="J29" i="60"/>
  <c r="B29" i="60"/>
  <c r="T28" i="60"/>
  <c r="P28" i="60"/>
  <c r="X28" i="60" s="1"/>
  <c r="H28" i="60"/>
  <c r="D28" i="60"/>
  <c r="L28" i="60" s="1"/>
  <c r="B28" i="60"/>
  <c r="Z27" i="60"/>
  <c r="X27" i="60"/>
  <c r="N27" i="60"/>
  <c r="L27" i="60"/>
  <c r="J27" i="60"/>
  <c r="B27" i="60"/>
  <c r="X26" i="60"/>
  <c r="Z26" i="60" s="1"/>
  <c r="L26" i="60"/>
  <c r="N26" i="60" s="1"/>
  <c r="F26" i="60"/>
  <c r="B26" i="60"/>
  <c r="Z25" i="60"/>
  <c r="X25" i="60"/>
  <c r="V25" i="60"/>
  <c r="N25" i="60"/>
  <c r="L25" i="60"/>
  <c r="J25" i="60"/>
  <c r="B25" i="60"/>
  <c r="X24" i="60"/>
  <c r="Z24" i="60" s="1"/>
  <c r="L24" i="60"/>
  <c r="N24" i="60" s="1"/>
  <c r="B24" i="60"/>
  <c r="Z23" i="60"/>
  <c r="X23" i="60"/>
  <c r="V23" i="60"/>
  <c r="N23" i="60"/>
  <c r="L23" i="60"/>
  <c r="B23" i="60"/>
  <c r="X22" i="60"/>
  <c r="Z22" i="60" s="1"/>
  <c r="R22" i="60"/>
  <c r="L22" i="60"/>
  <c r="N22" i="60" s="1"/>
  <c r="B22" i="60"/>
  <c r="Z21" i="60"/>
  <c r="X21" i="60"/>
  <c r="V21" i="60"/>
  <c r="N21" i="60"/>
  <c r="L21" i="60"/>
  <c r="J21" i="60"/>
  <c r="B21" i="60"/>
  <c r="X20" i="60"/>
  <c r="Z20" i="60" s="1"/>
  <c r="L20" i="60"/>
  <c r="N20" i="60" s="1"/>
  <c r="B20" i="60"/>
  <c r="Z19" i="60"/>
  <c r="V19" i="60"/>
  <c r="T19" i="60"/>
  <c r="P19" i="60"/>
  <c r="X19" i="60" s="1"/>
  <c r="J19" i="60"/>
  <c r="H19" i="60"/>
  <c r="D19" i="60"/>
  <c r="L19" i="60" s="1"/>
  <c r="N19" i="60" s="1"/>
  <c r="B19" i="60"/>
  <c r="T18" i="60" a="1"/>
  <c r="T18" i="60" s="1"/>
  <c r="P18" i="60" a="1"/>
  <c r="P18" i="60"/>
  <c r="H18" i="60" a="1"/>
  <c r="H18" i="60" s="1"/>
  <c r="D18" i="60" a="1"/>
  <c r="D18" i="60"/>
  <c r="T16" i="60"/>
  <c r="H16" i="60"/>
  <c r="N16" i="60" s="1"/>
  <c r="D16" i="60"/>
  <c r="V14" i="60"/>
  <c r="T14" i="60"/>
  <c r="Z14" i="60" s="1"/>
  <c r="P14" i="60"/>
  <c r="X14" i="60" s="1"/>
  <c r="L14" i="60"/>
  <c r="H14" i="60"/>
  <c r="N14" i="60" s="1"/>
  <c r="D14" i="60"/>
  <c r="Z12" i="60"/>
  <c r="T12" i="60"/>
  <c r="V53" i="60" s="1"/>
  <c r="P12" i="60"/>
  <c r="H12" i="60"/>
  <c r="J28" i="60" s="1"/>
  <c r="D12" i="60"/>
  <c r="F53" i="60" s="1"/>
  <c r="D6" i="60"/>
  <c r="D4" i="60"/>
  <c r="Z58" i="59"/>
  <c r="X58" i="59"/>
  <c r="N58" i="59"/>
  <c r="L58" i="59"/>
  <c r="T54" i="59"/>
  <c r="Z54" i="59" s="1"/>
  <c r="P54" i="59"/>
  <c r="X54" i="59" s="1"/>
  <c r="H54" i="59"/>
  <c r="N54" i="59" s="1"/>
  <c r="D54" i="59"/>
  <c r="L54" i="59" s="1"/>
  <c r="Z52" i="59"/>
  <c r="X52" i="59"/>
  <c r="N52" i="59"/>
  <c r="L52" i="59"/>
  <c r="B52" i="59"/>
  <c r="Z51" i="59"/>
  <c r="T51" i="59"/>
  <c r="P51" i="59"/>
  <c r="X51" i="59" s="1"/>
  <c r="N51" i="59"/>
  <c r="J51" i="59"/>
  <c r="H51" i="59"/>
  <c r="D51" i="59"/>
  <c r="L51" i="59" s="1"/>
  <c r="B51" i="59"/>
  <c r="X50" i="59"/>
  <c r="Z50" i="59" s="1"/>
  <c r="R50" i="59"/>
  <c r="N50" i="59"/>
  <c r="L50" i="59"/>
  <c r="B50" i="59"/>
  <c r="V49" i="59"/>
  <c r="T49" i="59"/>
  <c r="P49" i="59"/>
  <c r="X49" i="59" s="1"/>
  <c r="Z49" i="59" s="1"/>
  <c r="N49" i="59"/>
  <c r="H49" i="59"/>
  <c r="D49" i="59"/>
  <c r="L49" i="59" s="1"/>
  <c r="B49" i="59"/>
  <c r="X48" i="59"/>
  <c r="Z48" i="59" s="1"/>
  <c r="L48" i="59"/>
  <c r="N48" i="59" s="1"/>
  <c r="B48" i="59"/>
  <c r="Z47" i="59"/>
  <c r="X47" i="59"/>
  <c r="N47" i="59"/>
  <c r="L47" i="59"/>
  <c r="B47" i="59"/>
  <c r="T46" i="59"/>
  <c r="P46" i="59"/>
  <c r="H46" i="59"/>
  <c r="D46" i="59"/>
  <c r="L46" i="59" s="1"/>
  <c r="B46" i="59"/>
  <c r="X45" i="59"/>
  <c r="Z45" i="59" s="1"/>
  <c r="V45" i="59"/>
  <c r="N45" i="59"/>
  <c r="L45" i="59"/>
  <c r="J45" i="59"/>
  <c r="B45" i="59"/>
  <c r="T44" i="59"/>
  <c r="Z44" i="59" s="1"/>
  <c r="P44" i="59"/>
  <c r="X44" i="59" s="1"/>
  <c r="H44" i="59"/>
  <c r="D44" i="59"/>
  <c r="L44" i="59" s="1"/>
  <c r="B44" i="59"/>
  <c r="Z43" i="59"/>
  <c r="X43" i="59"/>
  <c r="N43" i="59"/>
  <c r="L43" i="59"/>
  <c r="B43" i="59"/>
  <c r="X42" i="59"/>
  <c r="Z42" i="59" s="1"/>
  <c r="L42" i="59"/>
  <c r="N42" i="59" s="1"/>
  <c r="B42" i="59"/>
  <c r="Z41" i="59"/>
  <c r="X41" i="59"/>
  <c r="V41" i="59"/>
  <c r="N41" i="59"/>
  <c r="L41" i="59"/>
  <c r="J41" i="59"/>
  <c r="B41" i="59"/>
  <c r="X40" i="59"/>
  <c r="Z40" i="59" s="1"/>
  <c r="L40" i="59"/>
  <c r="N40" i="59" s="1"/>
  <c r="B40" i="59"/>
  <c r="T39" i="59"/>
  <c r="R39" i="59"/>
  <c r="P39" i="59"/>
  <c r="X39" i="59" s="1"/>
  <c r="Z39" i="59" s="1"/>
  <c r="N39" i="59"/>
  <c r="L39" i="59"/>
  <c r="H39" i="59"/>
  <c r="D39" i="59"/>
  <c r="B39" i="59"/>
  <c r="X38" i="59"/>
  <c r="Z38" i="59" s="1"/>
  <c r="L38" i="59"/>
  <c r="N38" i="59" s="1"/>
  <c r="B38" i="59"/>
  <c r="Z37" i="59"/>
  <c r="X37" i="59"/>
  <c r="V37" i="59"/>
  <c r="T37" i="59"/>
  <c r="P37" i="59"/>
  <c r="H37" i="59"/>
  <c r="L37" i="59" s="1"/>
  <c r="N37" i="59" s="1"/>
  <c r="D37" i="59"/>
  <c r="B37" i="59"/>
  <c r="X36" i="59"/>
  <c r="Z36" i="59" s="1"/>
  <c r="N36" i="59"/>
  <c r="L36" i="59"/>
  <c r="B36" i="59"/>
  <c r="T35" i="59"/>
  <c r="X35" i="59" s="1"/>
  <c r="Z35" i="59" s="1"/>
  <c r="P35" i="59"/>
  <c r="N35" i="59"/>
  <c r="J35" i="59"/>
  <c r="H35" i="59"/>
  <c r="D35" i="59"/>
  <c r="L35" i="59" s="1"/>
  <c r="B35" i="59"/>
  <c r="X34" i="59"/>
  <c r="Z34" i="59" s="1"/>
  <c r="R34" i="59"/>
  <c r="L34" i="59"/>
  <c r="N34" i="59" s="1"/>
  <c r="B34" i="59"/>
  <c r="V33" i="59"/>
  <c r="T33" i="59"/>
  <c r="P33" i="59"/>
  <c r="X33" i="59" s="1"/>
  <c r="Z33" i="59" s="1"/>
  <c r="H33" i="59"/>
  <c r="D33" i="59"/>
  <c r="L33" i="59" s="1"/>
  <c r="N33" i="59" s="1"/>
  <c r="B33" i="59"/>
  <c r="Z32" i="59"/>
  <c r="X32" i="59"/>
  <c r="N32" i="59"/>
  <c r="L32" i="59"/>
  <c r="B32" i="59"/>
  <c r="Z31" i="59"/>
  <c r="X31" i="59"/>
  <c r="N31" i="59"/>
  <c r="L31" i="59"/>
  <c r="B31" i="59"/>
  <c r="X30" i="59"/>
  <c r="Z30" i="59" s="1"/>
  <c r="R30" i="59"/>
  <c r="L30" i="59"/>
  <c r="N30" i="59" s="1"/>
  <c r="B30" i="59"/>
  <c r="V29" i="59"/>
  <c r="T29" i="59"/>
  <c r="P29" i="59"/>
  <c r="X29" i="59" s="1"/>
  <c r="Z29" i="59" s="1"/>
  <c r="H29" i="59"/>
  <c r="D29" i="59"/>
  <c r="L29" i="59" s="1"/>
  <c r="N29" i="59" s="1"/>
  <c r="B29" i="59"/>
  <c r="X28" i="59"/>
  <c r="Z28" i="59" s="1"/>
  <c r="L28" i="59"/>
  <c r="N28" i="59" s="1"/>
  <c r="B28" i="59"/>
  <c r="Z27" i="59"/>
  <c r="X27" i="59"/>
  <c r="N27" i="59"/>
  <c r="L27" i="59"/>
  <c r="B27" i="59"/>
  <c r="X26" i="59"/>
  <c r="Z26" i="59" s="1"/>
  <c r="R26" i="59"/>
  <c r="L26" i="59"/>
  <c r="N26" i="59" s="1"/>
  <c r="B26" i="59"/>
  <c r="Z25" i="59"/>
  <c r="X25" i="59"/>
  <c r="V25" i="59"/>
  <c r="N25" i="59"/>
  <c r="L25" i="59"/>
  <c r="J25" i="59"/>
  <c r="B25" i="59"/>
  <c r="X24" i="59"/>
  <c r="Z24" i="59" s="1"/>
  <c r="L24" i="59"/>
  <c r="N24" i="59" s="1"/>
  <c r="B24" i="59"/>
  <c r="Z23" i="59"/>
  <c r="X23" i="59"/>
  <c r="N23" i="59"/>
  <c r="L23" i="59"/>
  <c r="B23" i="59"/>
  <c r="X22" i="59"/>
  <c r="Z22" i="59" s="1"/>
  <c r="L22" i="59"/>
  <c r="N22" i="59" s="1"/>
  <c r="B22" i="59"/>
  <c r="X21" i="59"/>
  <c r="Z21" i="59" s="1"/>
  <c r="V21" i="59"/>
  <c r="N21" i="59"/>
  <c r="L21" i="59"/>
  <c r="J21" i="59"/>
  <c r="B21" i="59"/>
  <c r="X20" i="59"/>
  <c r="Z20" i="59" s="1"/>
  <c r="L20" i="59"/>
  <c r="N20" i="59" s="1"/>
  <c r="B20" i="59"/>
  <c r="V19" i="59"/>
  <c r="T19" i="59"/>
  <c r="R19" i="59"/>
  <c r="P19" i="59"/>
  <c r="X19" i="59" s="1"/>
  <c r="Z19" i="59" s="1"/>
  <c r="J19" i="59"/>
  <c r="H19" i="59"/>
  <c r="D19" i="59"/>
  <c r="L19" i="59" s="1"/>
  <c r="N19" i="59" s="1"/>
  <c r="B19" i="59"/>
  <c r="T18" i="59" a="1"/>
  <c r="T18" i="59" s="1"/>
  <c r="P18" i="59" a="1"/>
  <c r="P18" i="59"/>
  <c r="X18" i="59" s="1"/>
  <c r="H18" i="59" a="1"/>
  <c r="H18" i="59" s="1"/>
  <c r="D18" i="59" a="1"/>
  <c r="D18" i="59"/>
  <c r="V14" i="59"/>
  <c r="T14" i="59"/>
  <c r="P14" i="59"/>
  <c r="H14" i="59"/>
  <c r="N14" i="59" s="1"/>
  <c r="D14" i="59"/>
  <c r="L14" i="59" s="1"/>
  <c r="T12" i="59"/>
  <c r="V42" i="59" s="1"/>
  <c r="P12" i="59"/>
  <c r="R63" i="59" s="1"/>
  <c r="H12" i="59"/>
  <c r="J60" i="59" s="1"/>
  <c r="D12" i="59"/>
  <c r="F33" i="59" s="1"/>
  <c r="D6" i="59"/>
  <c r="D4" i="59"/>
  <c r="Z71" i="58"/>
  <c r="X71" i="58"/>
  <c r="N71" i="58"/>
  <c r="L71" i="58"/>
  <c r="Z67" i="58"/>
  <c r="X67" i="58"/>
  <c r="T67" i="58"/>
  <c r="P67" i="58"/>
  <c r="H67" i="58"/>
  <c r="D67" i="58"/>
  <c r="X65" i="58"/>
  <c r="Z65" i="58" s="1"/>
  <c r="N65" i="58"/>
  <c r="L65" i="58"/>
  <c r="B65" i="58"/>
  <c r="T64" i="58"/>
  <c r="R64" i="58"/>
  <c r="P64" i="58"/>
  <c r="X64" i="58" s="1"/>
  <c r="Z64" i="58" s="1"/>
  <c r="N64" i="58"/>
  <c r="H64" i="58"/>
  <c r="D64" i="58"/>
  <c r="L64" i="58" s="1"/>
  <c r="B64" i="58"/>
  <c r="X63" i="58"/>
  <c r="Z63" i="58" s="1"/>
  <c r="N63" i="58"/>
  <c r="L63" i="58"/>
  <c r="F63" i="58"/>
  <c r="B63" i="58"/>
  <c r="T62" i="58"/>
  <c r="P62" i="58"/>
  <c r="X62" i="58" s="1"/>
  <c r="N62" i="58"/>
  <c r="H62" i="58"/>
  <c r="L62" i="58" s="1"/>
  <c r="D62" i="58"/>
  <c r="B62" i="58"/>
  <c r="X61" i="58"/>
  <c r="Z61" i="58" s="1"/>
  <c r="L61" i="58"/>
  <c r="N61" i="58" s="1"/>
  <c r="B61" i="58"/>
  <c r="T60" i="58"/>
  <c r="X60" i="58" s="1"/>
  <c r="Z60" i="58" s="1"/>
  <c r="P60" i="58"/>
  <c r="L60" i="58"/>
  <c r="N60" i="58" s="1"/>
  <c r="H60" i="58"/>
  <c r="D60" i="58"/>
  <c r="B60" i="58"/>
  <c r="Z59" i="58"/>
  <c r="X59" i="58"/>
  <c r="R59" i="58"/>
  <c r="N59" i="58"/>
  <c r="L59" i="58"/>
  <c r="B59" i="58"/>
  <c r="X58" i="58"/>
  <c r="Z58" i="58" s="1"/>
  <c r="V58" i="58"/>
  <c r="N58" i="58"/>
  <c r="L58" i="58"/>
  <c r="B58" i="58"/>
  <c r="X57" i="58"/>
  <c r="Z57" i="58" s="1"/>
  <c r="L57" i="58"/>
  <c r="N57" i="58" s="1"/>
  <c r="B57" i="58"/>
  <c r="Z56" i="58"/>
  <c r="X56" i="58"/>
  <c r="N56" i="58"/>
  <c r="L56" i="58"/>
  <c r="B56" i="58"/>
  <c r="T55" i="58"/>
  <c r="P55" i="58"/>
  <c r="X55" i="58" s="1"/>
  <c r="L55" i="58"/>
  <c r="N55" i="58" s="1"/>
  <c r="H55" i="58"/>
  <c r="D55" i="58"/>
  <c r="B55" i="58"/>
  <c r="Z54" i="58"/>
  <c r="X54" i="58"/>
  <c r="V54" i="58"/>
  <c r="N54" i="58"/>
  <c r="L54" i="58"/>
  <c r="B54" i="58"/>
  <c r="X53" i="58"/>
  <c r="Z53" i="58" s="1"/>
  <c r="L53" i="58"/>
  <c r="N53" i="58" s="1"/>
  <c r="B53" i="58"/>
  <c r="Z52" i="58"/>
  <c r="T52" i="58"/>
  <c r="P52" i="58"/>
  <c r="X52" i="58" s="1"/>
  <c r="L52" i="58"/>
  <c r="N52" i="58" s="1"/>
  <c r="J52" i="58"/>
  <c r="H52" i="58"/>
  <c r="D52" i="58"/>
  <c r="B52" i="58"/>
  <c r="X51" i="58"/>
  <c r="Z51" i="58" s="1"/>
  <c r="R51" i="58"/>
  <c r="N51" i="58"/>
  <c r="L51" i="58"/>
  <c r="F51" i="58"/>
  <c r="B51" i="58"/>
  <c r="X50" i="58"/>
  <c r="Z50" i="58" s="1"/>
  <c r="V50" i="58"/>
  <c r="L50" i="58"/>
  <c r="N50" i="58" s="1"/>
  <c r="B50" i="58"/>
  <c r="X49" i="58"/>
  <c r="Z49" i="58" s="1"/>
  <c r="T49" i="58"/>
  <c r="P49" i="58"/>
  <c r="H49" i="58"/>
  <c r="D49" i="58"/>
  <c r="B49" i="58"/>
  <c r="Z48" i="58"/>
  <c r="X48" i="58"/>
  <c r="N48" i="58"/>
  <c r="L48" i="58"/>
  <c r="B48" i="58"/>
  <c r="X47" i="58"/>
  <c r="Z47" i="58" s="1"/>
  <c r="R47" i="58"/>
  <c r="N47" i="58"/>
  <c r="L47" i="58"/>
  <c r="F47" i="58"/>
  <c r="B47" i="58"/>
  <c r="X46" i="58"/>
  <c r="Z46" i="58" s="1"/>
  <c r="V46" i="58"/>
  <c r="T46" i="58"/>
  <c r="P46" i="58"/>
  <c r="N46" i="58"/>
  <c r="H46" i="58"/>
  <c r="L46" i="58" s="1"/>
  <c r="F46" i="58"/>
  <c r="D46" i="58"/>
  <c r="B46" i="58"/>
  <c r="X45" i="58"/>
  <c r="Z45" i="58" s="1"/>
  <c r="L45" i="58"/>
  <c r="N45" i="58" s="1"/>
  <c r="B45" i="58"/>
  <c r="T44" i="58"/>
  <c r="X44" i="58" s="1"/>
  <c r="Z44" i="58" s="1"/>
  <c r="R44" i="58"/>
  <c r="P44" i="58"/>
  <c r="H44" i="58"/>
  <c r="D44" i="58"/>
  <c r="L44" i="58" s="1"/>
  <c r="B44" i="58"/>
  <c r="Z43" i="58"/>
  <c r="X43" i="58"/>
  <c r="L43" i="58"/>
  <c r="N43" i="58" s="1"/>
  <c r="F43" i="58"/>
  <c r="B43" i="58"/>
  <c r="T42" i="58"/>
  <c r="P42" i="58"/>
  <c r="X42" i="58" s="1"/>
  <c r="N42" i="58"/>
  <c r="H42" i="58"/>
  <c r="F42" i="58"/>
  <c r="D42" i="58"/>
  <c r="L42" i="58" s="1"/>
  <c r="B42" i="58"/>
  <c r="X41" i="58"/>
  <c r="Z41" i="58" s="1"/>
  <c r="N41" i="58"/>
  <c r="L41" i="58"/>
  <c r="B41" i="58"/>
  <c r="T40" i="58"/>
  <c r="P40" i="58"/>
  <c r="X40" i="58" s="1"/>
  <c r="Z40" i="58" s="1"/>
  <c r="N40" i="58"/>
  <c r="L40" i="58"/>
  <c r="H40" i="58"/>
  <c r="D40" i="58"/>
  <c r="B40" i="58"/>
  <c r="X39" i="58"/>
  <c r="Z39" i="58" s="1"/>
  <c r="R39" i="58"/>
  <c r="N39" i="58"/>
  <c r="L39" i="58"/>
  <c r="F39" i="58"/>
  <c r="B39" i="58"/>
  <c r="X38" i="58"/>
  <c r="Z38" i="58" s="1"/>
  <c r="V38" i="58"/>
  <c r="T38" i="58"/>
  <c r="P38" i="58"/>
  <c r="N38" i="58"/>
  <c r="H38" i="58"/>
  <c r="L38" i="58" s="1"/>
  <c r="F38" i="58"/>
  <c r="D38" i="58"/>
  <c r="B38" i="58"/>
  <c r="Z37" i="58"/>
  <c r="X37" i="58"/>
  <c r="N37" i="58"/>
  <c r="L37" i="58"/>
  <c r="B37" i="58"/>
  <c r="Z36" i="58"/>
  <c r="T36" i="58"/>
  <c r="X36" i="58" s="1"/>
  <c r="R36" i="58"/>
  <c r="P36" i="58"/>
  <c r="H36" i="58"/>
  <c r="N36" i="58" s="1"/>
  <c r="D36" i="58"/>
  <c r="L36" i="58" s="1"/>
  <c r="B36" i="58"/>
  <c r="Z35" i="58"/>
  <c r="X35" i="58"/>
  <c r="R35" i="58"/>
  <c r="L35" i="58"/>
  <c r="N35" i="58" s="1"/>
  <c r="F35" i="58"/>
  <c r="B35" i="58"/>
  <c r="X34" i="58"/>
  <c r="Z34" i="58" s="1"/>
  <c r="L34" i="58"/>
  <c r="N34" i="58" s="1"/>
  <c r="B34" i="58"/>
  <c r="X33" i="58"/>
  <c r="Z33" i="58" s="1"/>
  <c r="L33" i="58"/>
  <c r="N33" i="58" s="1"/>
  <c r="B33" i="58"/>
  <c r="Z32" i="58"/>
  <c r="X32" i="58"/>
  <c r="N32" i="58"/>
  <c r="L32" i="58"/>
  <c r="B32" i="58"/>
  <c r="X31" i="58"/>
  <c r="Z31" i="58" s="1"/>
  <c r="R31" i="58"/>
  <c r="N31" i="58"/>
  <c r="L31" i="58"/>
  <c r="F31" i="58"/>
  <c r="B31" i="58"/>
  <c r="X30" i="58"/>
  <c r="V30" i="58"/>
  <c r="T30" i="58"/>
  <c r="Z30" i="58" s="1"/>
  <c r="P30" i="58"/>
  <c r="H30" i="58"/>
  <c r="F30" i="58"/>
  <c r="D30" i="58"/>
  <c r="L30" i="58" s="1"/>
  <c r="N30" i="58" s="1"/>
  <c r="B30" i="58"/>
  <c r="X29" i="58"/>
  <c r="Z29" i="58" s="1"/>
  <c r="N29" i="58"/>
  <c r="L29" i="58"/>
  <c r="B29" i="58"/>
  <c r="Z28" i="58"/>
  <c r="X28" i="58"/>
  <c r="N28" i="58"/>
  <c r="L28" i="58"/>
  <c r="B28" i="58"/>
  <c r="Z27" i="58"/>
  <c r="X27" i="58"/>
  <c r="R27" i="58"/>
  <c r="N27" i="58"/>
  <c r="L27" i="58"/>
  <c r="F27" i="58"/>
  <c r="B27" i="58"/>
  <c r="X26" i="58"/>
  <c r="Z26" i="58" s="1"/>
  <c r="V26" i="58"/>
  <c r="L26" i="58"/>
  <c r="N26" i="58" s="1"/>
  <c r="B26" i="58"/>
  <c r="Z25" i="58"/>
  <c r="X25" i="58"/>
  <c r="N25" i="58"/>
  <c r="L25" i="58"/>
  <c r="B25" i="58"/>
  <c r="Z24" i="58"/>
  <c r="X24" i="58"/>
  <c r="N24" i="58"/>
  <c r="L24" i="58"/>
  <c r="B24" i="58"/>
  <c r="Z23" i="58"/>
  <c r="X23" i="58"/>
  <c r="R23" i="58"/>
  <c r="N23" i="58"/>
  <c r="L23" i="58"/>
  <c r="F23" i="58"/>
  <c r="B23" i="58"/>
  <c r="X22" i="58"/>
  <c r="Z22" i="58" s="1"/>
  <c r="L22" i="58"/>
  <c r="N22" i="58" s="1"/>
  <c r="J22" i="58"/>
  <c r="B22" i="58"/>
  <c r="X21" i="58"/>
  <c r="Z21" i="58" s="1"/>
  <c r="L21" i="58"/>
  <c r="N21" i="58" s="1"/>
  <c r="B21" i="58"/>
  <c r="Z20" i="58"/>
  <c r="X20" i="58"/>
  <c r="N20" i="58"/>
  <c r="L20" i="58"/>
  <c r="B20" i="58"/>
  <c r="T19" i="58"/>
  <c r="P19" i="58"/>
  <c r="H19" i="58"/>
  <c r="F19" i="58"/>
  <c r="D19" i="58"/>
  <c r="L19" i="58" s="1"/>
  <c r="N19" i="58" s="1"/>
  <c r="B19" i="58"/>
  <c r="T18" i="58" a="1"/>
  <c r="T18" i="58" s="1"/>
  <c r="P18" i="58" a="1"/>
  <c r="P18" i="58" s="1"/>
  <c r="H18" i="58" a="1"/>
  <c r="H18" i="58" s="1"/>
  <c r="F18" i="58"/>
  <c r="D18" i="58" a="1"/>
  <c r="D18" i="58" s="1"/>
  <c r="L18" i="58" s="1"/>
  <c r="F16" i="58"/>
  <c r="D16" i="58"/>
  <c r="X14" i="58"/>
  <c r="V14" i="58"/>
  <c r="T14" i="58"/>
  <c r="Z14" i="58" s="1"/>
  <c r="P14" i="58"/>
  <c r="N14" i="58"/>
  <c r="L14" i="58"/>
  <c r="H14" i="58"/>
  <c r="F14" i="58"/>
  <c r="D14" i="58"/>
  <c r="T12" i="58"/>
  <c r="V63" i="58" s="1"/>
  <c r="P12" i="58"/>
  <c r="R73" i="58" s="1"/>
  <c r="H12" i="58"/>
  <c r="J34" i="58" s="1"/>
  <c r="D12" i="58"/>
  <c r="F55" i="58" s="1"/>
  <c r="D6" i="58"/>
  <c r="D4" i="58"/>
  <c r="R68" i="57"/>
  <c r="J65" i="57"/>
  <c r="Z63" i="57"/>
  <c r="X63" i="57"/>
  <c r="N63" i="57"/>
  <c r="L63" i="57"/>
  <c r="R61" i="57"/>
  <c r="Z59" i="57"/>
  <c r="T59" i="57"/>
  <c r="P59" i="57"/>
  <c r="X59" i="57" s="1"/>
  <c r="L59" i="57"/>
  <c r="J59" i="57"/>
  <c r="H59" i="57"/>
  <c r="N59" i="57" s="1"/>
  <c r="D59" i="57"/>
  <c r="Z57" i="57"/>
  <c r="X57" i="57"/>
  <c r="N57" i="57"/>
  <c r="L57" i="57"/>
  <c r="B57" i="57"/>
  <c r="T56" i="57"/>
  <c r="P56" i="57"/>
  <c r="X56" i="57" s="1"/>
  <c r="N56" i="57"/>
  <c r="H56" i="57"/>
  <c r="D56" i="57"/>
  <c r="L56" i="57" s="1"/>
  <c r="B56" i="57"/>
  <c r="X55" i="57"/>
  <c r="Z55" i="57" s="1"/>
  <c r="N55" i="57"/>
  <c r="L55" i="57"/>
  <c r="J55" i="57"/>
  <c r="B55" i="57"/>
  <c r="T54" i="57"/>
  <c r="P54" i="57"/>
  <c r="X54" i="57" s="1"/>
  <c r="Z54" i="57" s="1"/>
  <c r="H54" i="57"/>
  <c r="N54" i="57" s="1"/>
  <c r="D54" i="57"/>
  <c r="L54" i="57" s="1"/>
  <c r="B54" i="57"/>
  <c r="Z53" i="57"/>
  <c r="X53" i="57"/>
  <c r="N53" i="57"/>
  <c r="L53" i="57"/>
  <c r="B53" i="57"/>
  <c r="T52" i="57"/>
  <c r="Z52" i="57" s="1"/>
  <c r="P52" i="57"/>
  <c r="X52" i="57" s="1"/>
  <c r="L52" i="57"/>
  <c r="N52" i="57" s="1"/>
  <c r="H52" i="57"/>
  <c r="D52" i="57"/>
  <c r="B52" i="57"/>
  <c r="X51" i="57"/>
  <c r="Z51" i="57" s="1"/>
  <c r="V51" i="57"/>
  <c r="L51" i="57"/>
  <c r="N51" i="57" s="1"/>
  <c r="B51" i="57"/>
  <c r="X50" i="57"/>
  <c r="Z50" i="57" s="1"/>
  <c r="N50" i="57"/>
  <c r="L50" i="57"/>
  <c r="B50" i="57"/>
  <c r="T49" i="57"/>
  <c r="P49" i="57"/>
  <c r="X49" i="57" s="1"/>
  <c r="Z49" i="57" s="1"/>
  <c r="L49" i="57"/>
  <c r="J49" i="57"/>
  <c r="H49" i="57"/>
  <c r="N49" i="57" s="1"/>
  <c r="D49" i="57"/>
  <c r="B49" i="57"/>
  <c r="Z48" i="57"/>
  <c r="X48" i="57"/>
  <c r="R48" i="57"/>
  <c r="N48" i="57"/>
  <c r="L48" i="57"/>
  <c r="F48" i="57"/>
  <c r="B48" i="57"/>
  <c r="X47" i="57"/>
  <c r="V47" i="57"/>
  <c r="T47" i="57"/>
  <c r="Z47" i="57" s="1"/>
  <c r="P47" i="57"/>
  <c r="N47" i="57"/>
  <c r="L47" i="57"/>
  <c r="H47" i="57"/>
  <c r="F47" i="57"/>
  <c r="D47" i="57"/>
  <c r="B47" i="57"/>
  <c r="X46" i="57"/>
  <c r="Z46" i="57" s="1"/>
  <c r="L46" i="57"/>
  <c r="N46" i="57" s="1"/>
  <c r="B46" i="57"/>
  <c r="Z45" i="57"/>
  <c r="X45" i="57"/>
  <c r="N45" i="57"/>
  <c r="L45" i="57"/>
  <c r="B45" i="57"/>
  <c r="Z44" i="57"/>
  <c r="X44" i="57"/>
  <c r="R44" i="57"/>
  <c r="N44" i="57"/>
  <c r="L44" i="57"/>
  <c r="F44" i="57"/>
  <c r="B44" i="57"/>
  <c r="X43" i="57"/>
  <c r="V43" i="57"/>
  <c r="T43" i="57"/>
  <c r="Z43" i="57" s="1"/>
  <c r="P43" i="57"/>
  <c r="N43" i="57"/>
  <c r="L43" i="57"/>
  <c r="H43" i="57"/>
  <c r="F43" i="57"/>
  <c r="D43" i="57"/>
  <c r="B43" i="57"/>
  <c r="X42" i="57"/>
  <c r="Z42" i="57" s="1"/>
  <c r="L42" i="57"/>
  <c r="N42" i="57" s="1"/>
  <c r="B42" i="57"/>
  <c r="Z41" i="57"/>
  <c r="X41" i="57"/>
  <c r="T41" i="57"/>
  <c r="R41" i="57"/>
  <c r="P41" i="57"/>
  <c r="H41" i="57"/>
  <c r="N41" i="57" s="1"/>
  <c r="D41" i="57"/>
  <c r="L41" i="57" s="1"/>
  <c r="B41" i="57"/>
  <c r="Z40" i="57"/>
  <c r="X40" i="57"/>
  <c r="N40" i="57"/>
  <c r="L40" i="57"/>
  <c r="F40" i="57"/>
  <c r="B40" i="57"/>
  <c r="X39" i="57"/>
  <c r="Z39" i="57" s="1"/>
  <c r="V39" i="57"/>
  <c r="N39" i="57"/>
  <c r="L39" i="57"/>
  <c r="J39" i="57"/>
  <c r="B39" i="57"/>
  <c r="T38" i="57"/>
  <c r="P38" i="57"/>
  <c r="X38" i="57" s="1"/>
  <c r="Z38" i="57" s="1"/>
  <c r="H38" i="57"/>
  <c r="D38" i="57"/>
  <c r="B38" i="57"/>
  <c r="Z37" i="57"/>
  <c r="X37" i="57"/>
  <c r="N37" i="57"/>
  <c r="L37" i="57"/>
  <c r="B37" i="57"/>
  <c r="T36" i="57"/>
  <c r="P36" i="57"/>
  <c r="L36" i="57"/>
  <c r="N36" i="57" s="1"/>
  <c r="H36" i="57"/>
  <c r="D36" i="57"/>
  <c r="B36" i="57"/>
  <c r="Z35" i="57"/>
  <c r="X35" i="57"/>
  <c r="V35" i="57"/>
  <c r="N35" i="57"/>
  <c r="L35" i="57"/>
  <c r="B35" i="57"/>
  <c r="Z34" i="57"/>
  <c r="X34" i="57"/>
  <c r="T34" i="57"/>
  <c r="P34" i="57"/>
  <c r="H34" i="57"/>
  <c r="D34" i="57"/>
  <c r="B34" i="57"/>
  <c r="Z33" i="57"/>
  <c r="X33" i="57"/>
  <c r="N33" i="57"/>
  <c r="L33" i="57"/>
  <c r="B33" i="57"/>
  <c r="T32" i="57"/>
  <c r="P32" i="57"/>
  <c r="X32" i="57" s="1"/>
  <c r="H32" i="57"/>
  <c r="D32" i="57"/>
  <c r="L32" i="57" s="1"/>
  <c r="N32" i="57" s="1"/>
  <c r="B32" i="57"/>
  <c r="X31" i="57"/>
  <c r="Z31" i="57" s="1"/>
  <c r="V31" i="57"/>
  <c r="N31" i="57"/>
  <c r="L31" i="57"/>
  <c r="J31" i="57"/>
  <c r="B31" i="57"/>
  <c r="X30" i="57"/>
  <c r="Z30" i="57" s="1"/>
  <c r="N30" i="57"/>
  <c r="L30" i="57"/>
  <c r="B30" i="57"/>
  <c r="Z29" i="57"/>
  <c r="X29" i="57"/>
  <c r="N29" i="57"/>
  <c r="L29" i="57"/>
  <c r="B29" i="57"/>
  <c r="T28" i="57"/>
  <c r="P28" i="57"/>
  <c r="X28" i="57" s="1"/>
  <c r="H28" i="57"/>
  <c r="D28" i="57"/>
  <c r="L28" i="57" s="1"/>
  <c r="N28" i="57" s="1"/>
  <c r="B28" i="57"/>
  <c r="X27" i="57"/>
  <c r="Z27" i="57" s="1"/>
  <c r="V27" i="57"/>
  <c r="L27" i="57"/>
  <c r="N27" i="57" s="1"/>
  <c r="J27" i="57"/>
  <c r="B27" i="57"/>
  <c r="X26" i="57"/>
  <c r="Z26" i="57" s="1"/>
  <c r="L26" i="57"/>
  <c r="N26" i="57" s="1"/>
  <c r="B26" i="57"/>
  <c r="Z25" i="57"/>
  <c r="X25" i="57"/>
  <c r="N25" i="57"/>
  <c r="L25" i="57"/>
  <c r="B25" i="57"/>
  <c r="Z24" i="57"/>
  <c r="X24" i="57"/>
  <c r="R24" i="57"/>
  <c r="L24" i="57"/>
  <c r="N24" i="57" s="1"/>
  <c r="F24" i="57"/>
  <c r="B24" i="57"/>
  <c r="X23" i="57"/>
  <c r="Z23" i="57" s="1"/>
  <c r="V23" i="57"/>
  <c r="L23" i="57"/>
  <c r="N23" i="57" s="1"/>
  <c r="J23" i="57"/>
  <c r="F23" i="57"/>
  <c r="B23" i="57"/>
  <c r="X22" i="57"/>
  <c r="Z22" i="57" s="1"/>
  <c r="L22" i="57"/>
  <c r="N22" i="57" s="1"/>
  <c r="B22" i="57"/>
  <c r="Z21" i="57"/>
  <c r="X21" i="57"/>
  <c r="N21" i="57"/>
  <c r="L21" i="57"/>
  <c r="B21" i="57"/>
  <c r="X20" i="57"/>
  <c r="Z20" i="57" s="1"/>
  <c r="R20" i="57"/>
  <c r="N20" i="57"/>
  <c r="L20" i="57"/>
  <c r="F20" i="57"/>
  <c r="B20" i="57"/>
  <c r="V19" i="57"/>
  <c r="T19" i="57"/>
  <c r="P19" i="57"/>
  <c r="X19" i="57" s="1"/>
  <c r="N19" i="57"/>
  <c r="H19" i="57"/>
  <c r="F19" i="57"/>
  <c r="D19" i="57"/>
  <c r="L19" i="57" s="1"/>
  <c r="B19" i="57"/>
  <c r="T18" i="57" a="1"/>
  <c r="T18" i="57" s="1"/>
  <c r="R18" i="57"/>
  <c r="P18" i="57" a="1"/>
  <c r="P18" i="57" s="1"/>
  <c r="X18" i="57" s="1"/>
  <c r="H18" i="57" a="1"/>
  <c r="H18" i="57" s="1"/>
  <c r="F18" i="57"/>
  <c r="D18" i="57" a="1"/>
  <c r="D18" i="57" s="1"/>
  <c r="L18" i="57" s="1"/>
  <c r="T16" i="57"/>
  <c r="T61" i="57" s="1"/>
  <c r="H16" i="57"/>
  <c r="D16" i="57"/>
  <c r="L16" i="57" s="1"/>
  <c r="Z14" i="57"/>
  <c r="V14" i="57"/>
  <c r="T14" i="57"/>
  <c r="P14" i="57"/>
  <c r="H14" i="57"/>
  <c r="N14" i="57" s="1"/>
  <c r="F14" i="57"/>
  <c r="D14" i="57"/>
  <c r="Z12" i="57"/>
  <c r="X12" i="57"/>
  <c r="T12" i="57"/>
  <c r="V52" i="57" s="1"/>
  <c r="P12" i="57"/>
  <c r="R53" i="57" s="1"/>
  <c r="L12" i="57"/>
  <c r="H12" i="57"/>
  <c r="J54" i="57" s="1"/>
  <c r="D12" i="57"/>
  <c r="F63" i="57" s="1"/>
  <c r="D6" i="57"/>
  <c r="D4" i="57"/>
  <c r="Z68" i="56"/>
  <c r="X68" i="56"/>
  <c r="N68" i="56"/>
  <c r="L68" i="56"/>
  <c r="F68" i="56"/>
  <c r="T64" i="56"/>
  <c r="Z64" i="56" s="1"/>
  <c r="P64" i="56"/>
  <c r="X64" i="56" s="1"/>
  <c r="H64" i="56"/>
  <c r="N64" i="56" s="1"/>
  <c r="D64" i="56"/>
  <c r="L64" i="56" s="1"/>
  <c r="X62" i="56"/>
  <c r="Z62" i="56" s="1"/>
  <c r="N62" i="56"/>
  <c r="L62" i="56"/>
  <c r="B62" i="56"/>
  <c r="T61" i="56"/>
  <c r="P61" i="56"/>
  <c r="X61" i="56" s="1"/>
  <c r="H61" i="56"/>
  <c r="D61" i="56"/>
  <c r="L61" i="56" s="1"/>
  <c r="N61" i="56" s="1"/>
  <c r="B61" i="56"/>
  <c r="X60" i="56"/>
  <c r="Z60" i="56" s="1"/>
  <c r="L60" i="56"/>
  <c r="N60" i="56" s="1"/>
  <c r="B60" i="56"/>
  <c r="Z59" i="56"/>
  <c r="T59" i="56"/>
  <c r="P59" i="56"/>
  <c r="X59" i="56" s="1"/>
  <c r="H59" i="56"/>
  <c r="D59" i="56"/>
  <c r="L59" i="56" s="1"/>
  <c r="N59" i="56" s="1"/>
  <c r="B59" i="56"/>
  <c r="Z58" i="56"/>
  <c r="X58" i="56"/>
  <c r="L58" i="56"/>
  <c r="N58" i="56" s="1"/>
  <c r="B58" i="56"/>
  <c r="Z57" i="56"/>
  <c r="X57" i="56"/>
  <c r="N57" i="56"/>
  <c r="L57" i="56"/>
  <c r="B57" i="56"/>
  <c r="X56" i="56"/>
  <c r="T56" i="56"/>
  <c r="P56" i="56"/>
  <c r="H56" i="56"/>
  <c r="D56" i="56"/>
  <c r="L56" i="56" s="1"/>
  <c r="B56" i="56"/>
  <c r="Z55" i="56"/>
  <c r="X55" i="56"/>
  <c r="N55" i="56"/>
  <c r="L55" i="56"/>
  <c r="B55" i="56"/>
  <c r="T54" i="56"/>
  <c r="P54" i="56"/>
  <c r="X54" i="56" s="1"/>
  <c r="H54" i="56"/>
  <c r="N54" i="56" s="1"/>
  <c r="D54" i="56"/>
  <c r="L54" i="56" s="1"/>
  <c r="B54" i="56"/>
  <c r="Z53" i="56"/>
  <c r="X53" i="56"/>
  <c r="N53" i="56"/>
  <c r="L53" i="56"/>
  <c r="B53" i="56"/>
  <c r="X52" i="56"/>
  <c r="Z52" i="56" s="1"/>
  <c r="L52" i="56"/>
  <c r="N52" i="56" s="1"/>
  <c r="B52" i="56"/>
  <c r="Z51" i="56"/>
  <c r="X51" i="56"/>
  <c r="T51" i="56"/>
  <c r="P51" i="56"/>
  <c r="H51" i="56"/>
  <c r="N51" i="56" s="1"/>
  <c r="D51" i="56"/>
  <c r="L51" i="56" s="1"/>
  <c r="B51" i="56"/>
  <c r="Z50" i="56"/>
  <c r="X50" i="56"/>
  <c r="N50" i="56"/>
  <c r="L50" i="56"/>
  <c r="F50" i="56"/>
  <c r="B50" i="56"/>
  <c r="Z49" i="56"/>
  <c r="X49" i="56"/>
  <c r="V49" i="56"/>
  <c r="N49" i="56"/>
  <c r="L49" i="56"/>
  <c r="B49" i="56"/>
  <c r="X48" i="56"/>
  <c r="Z48" i="56" s="1"/>
  <c r="N48" i="56"/>
  <c r="L48" i="56"/>
  <c r="B48" i="56"/>
  <c r="Z47" i="56"/>
  <c r="X47" i="56"/>
  <c r="T47" i="56"/>
  <c r="P47" i="56"/>
  <c r="H47" i="56"/>
  <c r="L47" i="56" s="1"/>
  <c r="D47" i="56"/>
  <c r="B47" i="56"/>
  <c r="X46" i="56"/>
  <c r="Z46" i="56" s="1"/>
  <c r="N46" i="56"/>
  <c r="L46" i="56"/>
  <c r="B46" i="56"/>
  <c r="V45" i="56"/>
  <c r="T45" i="56"/>
  <c r="X45" i="56" s="1"/>
  <c r="P45" i="56"/>
  <c r="N45" i="56"/>
  <c r="H45" i="56"/>
  <c r="D45" i="56"/>
  <c r="L45" i="56" s="1"/>
  <c r="B45" i="56"/>
  <c r="X44" i="56"/>
  <c r="Z44" i="56" s="1"/>
  <c r="N44" i="56"/>
  <c r="L44" i="56"/>
  <c r="B44" i="56"/>
  <c r="Z43" i="56"/>
  <c r="T43" i="56"/>
  <c r="P43" i="56"/>
  <c r="X43" i="56" s="1"/>
  <c r="H43" i="56"/>
  <c r="N43" i="56" s="1"/>
  <c r="D43" i="56"/>
  <c r="L43" i="56" s="1"/>
  <c r="B43" i="56"/>
  <c r="Z42" i="56"/>
  <c r="X42" i="56"/>
  <c r="L42" i="56"/>
  <c r="N42" i="56" s="1"/>
  <c r="F42" i="56"/>
  <c r="B42" i="56"/>
  <c r="T41" i="56"/>
  <c r="P41" i="56"/>
  <c r="X41" i="56" s="1"/>
  <c r="N41" i="56"/>
  <c r="L41" i="56"/>
  <c r="H41" i="56"/>
  <c r="F41" i="56"/>
  <c r="D41" i="56"/>
  <c r="B41" i="56"/>
  <c r="Z40" i="56"/>
  <c r="X40" i="56"/>
  <c r="N40" i="56"/>
  <c r="L40" i="56"/>
  <c r="B40" i="56"/>
  <c r="Z39" i="56"/>
  <c r="X39" i="56"/>
  <c r="T39" i="56"/>
  <c r="P39" i="56"/>
  <c r="H39" i="56"/>
  <c r="L39" i="56" s="1"/>
  <c r="D39" i="56"/>
  <c r="B39" i="56"/>
  <c r="X38" i="56"/>
  <c r="Z38" i="56" s="1"/>
  <c r="N38" i="56"/>
  <c r="L38" i="56"/>
  <c r="B38" i="56"/>
  <c r="T37" i="56"/>
  <c r="P37" i="56"/>
  <c r="N37" i="56"/>
  <c r="H37" i="56"/>
  <c r="F37" i="56"/>
  <c r="D37" i="56"/>
  <c r="L37" i="56" s="1"/>
  <c r="B37" i="56"/>
  <c r="X36" i="56"/>
  <c r="Z36" i="56" s="1"/>
  <c r="L36" i="56"/>
  <c r="N36" i="56" s="1"/>
  <c r="B36" i="56"/>
  <c r="Z35" i="56"/>
  <c r="T35" i="56"/>
  <c r="P35" i="56"/>
  <c r="X35" i="56" s="1"/>
  <c r="L35" i="56"/>
  <c r="J35" i="56"/>
  <c r="H35" i="56"/>
  <c r="N35" i="56" s="1"/>
  <c r="D35" i="56"/>
  <c r="B35" i="56"/>
  <c r="Z34" i="56"/>
  <c r="X34" i="56"/>
  <c r="N34" i="56"/>
  <c r="L34" i="56"/>
  <c r="B34" i="56"/>
  <c r="V33" i="56"/>
  <c r="T33" i="56"/>
  <c r="P33" i="56"/>
  <c r="N33" i="56"/>
  <c r="L33" i="56"/>
  <c r="H33" i="56"/>
  <c r="D33" i="56"/>
  <c r="B33" i="56"/>
  <c r="X32" i="56"/>
  <c r="Z32" i="56" s="1"/>
  <c r="N32" i="56"/>
  <c r="L32" i="56"/>
  <c r="B32" i="56"/>
  <c r="Z31" i="56"/>
  <c r="X31" i="56"/>
  <c r="N31" i="56"/>
  <c r="L31" i="56"/>
  <c r="B31" i="56"/>
  <c r="Z30" i="56"/>
  <c r="X30" i="56"/>
  <c r="V30" i="56"/>
  <c r="N30" i="56"/>
  <c r="L30" i="56"/>
  <c r="B30" i="56"/>
  <c r="X29" i="56"/>
  <c r="Z29" i="56" s="1"/>
  <c r="V29" i="56"/>
  <c r="L29" i="56"/>
  <c r="N29" i="56" s="1"/>
  <c r="F29" i="56"/>
  <c r="B29" i="56"/>
  <c r="V28" i="56"/>
  <c r="T28" i="56"/>
  <c r="P28" i="56"/>
  <c r="X28" i="56" s="1"/>
  <c r="Z28" i="56" s="1"/>
  <c r="H28" i="56"/>
  <c r="L28" i="56" s="1"/>
  <c r="N28" i="56" s="1"/>
  <c r="F28" i="56"/>
  <c r="D28" i="56"/>
  <c r="B28" i="56"/>
  <c r="X27" i="56"/>
  <c r="Z27" i="56" s="1"/>
  <c r="N27" i="56"/>
  <c r="L27" i="56"/>
  <c r="B27" i="56"/>
  <c r="Z26" i="56"/>
  <c r="X26" i="56"/>
  <c r="N26" i="56"/>
  <c r="L26" i="56"/>
  <c r="F26" i="56"/>
  <c r="B26" i="56"/>
  <c r="X25" i="56"/>
  <c r="Z25" i="56" s="1"/>
  <c r="L25" i="56"/>
  <c r="N25" i="56" s="1"/>
  <c r="F25" i="56"/>
  <c r="B25" i="56"/>
  <c r="X24" i="56"/>
  <c r="Z24" i="56" s="1"/>
  <c r="V24" i="56"/>
  <c r="L24" i="56"/>
  <c r="N24" i="56" s="1"/>
  <c r="J24" i="56"/>
  <c r="B24" i="56"/>
  <c r="X23" i="56"/>
  <c r="Z23" i="56" s="1"/>
  <c r="L23" i="56"/>
  <c r="N23" i="56" s="1"/>
  <c r="B23" i="56"/>
  <c r="Z22" i="56"/>
  <c r="X22" i="56"/>
  <c r="N22" i="56"/>
  <c r="L22" i="56"/>
  <c r="B22" i="56"/>
  <c r="X21" i="56"/>
  <c r="Z21" i="56" s="1"/>
  <c r="V21" i="56"/>
  <c r="L21" i="56"/>
  <c r="N21" i="56" s="1"/>
  <c r="F21" i="56"/>
  <c r="B21" i="56"/>
  <c r="X20" i="56"/>
  <c r="Z20" i="56" s="1"/>
  <c r="V20" i="56"/>
  <c r="N20" i="56"/>
  <c r="L20" i="56"/>
  <c r="J20" i="56"/>
  <c r="B20" i="56"/>
  <c r="T19" i="56"/>
  <c r="P19" i="56"/>
  <c r="X19" i="56" s="1"/>
  <c r="Z19" i="56" s="1"/>
  <c r="H19" i="56"/>
  <c r="N19" i="56" s="1"/>
  <c r="D19" i="56"/>
  <c r="L19" i="56" s="1"/>
  <c r="B19" i="56"/>
  <c r="T18" i="56" a="1"/>
  <c r="T18" i="56"/>
  <c r="P18" i="56" a="1"/>
  <c r="P18" i="56" s="1"/>
  <c r="X18" i="56" s="1"/>
  <c r="Z18" i="56" s="1"/>
  <c r="H18" i="56" a="1"/>
  <c r="H18" i="56" s="1"/>
  <c r="D18" i="56" a="1"/>
  <c r="D18" i="56" s="1"/>
  <c r="T16" i="56"/>
  <c r="T66" i="56" s="1"/>
  <c r="J16" i="56"/>
  <c r="D16" i="56"/>
  <c r="Z14" i="56"/>
  <c r="V14" i="56"/>
  <c r="T14" i="56"/>
  <c r="X14" i="56" s="1"/>
  <c r="P14" i="56"/>
  <c r="N14" i="56"/>
  <c r="L14" i="56"/>
  <c r="J14" i="56"/>
  <c r="H14" i="56"/>
  <c r="F14" i="56"/>
  <c r="D14" i="56"/>
  <c r="Z12" i="56"/>
  <c r="T12" i="56"/>
  <c r="V32" i="56" s="1"/>
  <c r="P12" i="56"/>
  <c r="R47" i="56" s="1"/>
  <c r="N12" i="56"/>
  <c r="H12" i="56"/>
  <c r="D12" i="56"/>
  <c r="F62" i="56" s="1"/>
  <c r="D6" i="56"/>
  <c r="D4" i="56"/>
  <c r="R37" i="55"/>
  <c r="F37" i="55"/>
  <c r="F34" i="55"/>
  <c r="Z32" i="55"/>
  <c r="X32" i="55"/>
  <c r="N32" i="55"/>
  <c r="L32" i="55"/>
  <c r="R30" i="55"/>
  <c r="F30" i="55"/>
  <c r="Z28" i="55"/>
  <c r="T28" i="55"/>
  <c r="P28" i="55"/>
  <c r="X28" i="55" s="1"/>
  <c r="N28" i="55"/>
  <c r="H28" i="55"/>
  <c r="L28" i="55" s="1"/>
  <c r="F28" i="55"/>
  <c r="D28" i="55"/>
  <c r="X26" i="55"/>
  <c r="Z26" i="55" s="1"/>
  <c r="N26" i="55"/>
  <c r="L26" i="55"/>
  <c r="B26" i="55"/>
  <c r="T25" i="55"/>
  <c r="P25" i="55"/>
  <c r="X25" i="55" s="1"/>
  <c r="Z25" i="55" s="1"/>
  <c r="H25" i="55"/>
  <c r="N25" i="55" s="1"/>
  <c r="D25" i="55"/>
  <c r="L25" i="55" s="1"/>
  <c r="B25" i="55"/>
  <c r="Z24" i="55"/>
  <c r="X24" i="55"/>
  <c r="R24" i="55"/>
  <c r="N24" i="55"/>
  <c r="L24" i="55"/>
  <c r="F24" i="55"/>
  <c r="B24" i="55"/>
  <c r="V23" i="55"/>
  <c r="T23" i="55"/>
  <c r="Z23" i="55" s="1"/>
  <c r="P23" i="55"/>
  <c r="X23" i="55" s="1"/>
  <c r="L23" i="55"/>
  <c r="N23" i="55" s="1"/>
  <c r="H23" i="55"/>
  <c r="F23" i="55"/>
  <c r="D23" i="55"/>
  <c r="B23" i="55"/>
  <c r="Z22" i="55"/>
  <c r="X22" i="55"/>
  <c r="L22" i="55"/>
  <c r="N22" i="55" s="1"/>
  <c r="B22" i="55"/>
  <c r="X21" i="55"/>
  <c r="Z21" i="55" s="1"/>
  <c r="T21" i="55"/>
  <c r="R21" i="55"/>
  <c r="P21" i="55"/>
  <c r="H21" i="55"/>
  <c r="D21" i="55"/>
  <c r="B21" i="55"/>
  <c r="Z20" i="55"/>
  <c r="X20" i="55"/>
  <c r="R20" i="55"/>
  <c r="N20" i="55"/>
  <c r="L20" i="55"/>
  <c r="F20" i="55"/>
  <c r="B20" i="55"/>
  <c r="T19" i="55"/>
  <c r="P19" i="55"/>
  <c r="H19" i="55"/>
  <c r="F19" i="55"/>
  <c r="D19" i="55"/>
  <c r="L19" i="55" s="1"/>
  <c r="N19" i="55" s="1"/>
  <c r="B19" i="55"/>
  <c r="T18" i="55" a="1"/>
  <c r="T18" i="55"/>
  <c r="Z18" i="55" s="1"/>
  <c r="R18" i="55"/>
  <c r="P18" i="55" a="1"/>
  <c r="P18" i="55" s="1"/>
  <c r="X18" i="55" s="1"/>
  <c r="H18" i="55" a="1"/>
  <c r="H18" i="55"/>
  <c r="N18" i="55" s="1"/>
  <c r="F18" i="55"/>
  <c r="D18" i="55" a="1"/>
  <c r="D18" i="55" s="1"/>
  <c r="L18" i="55" s="1"/>
  <c r="R16" i="55"/>
  <c r="F16" i="55"/>
  <c r="D16" i="55"/>
  <c r="Z14" i="55"/>
  <c r="V14" i="55"/>
  <c r="T14" i="55"/>
  <c r="R14" i="55"/>
  <c r="P14" i="55"/>
  <c r="P16" i="55" s="1"/>
  <c r="N14" i="55"/>
  <c r="H14" i="55"/>
  <c r="L14" i="55" s="1"/>
  <c r="F14" i="55"/>
  <c r="D14" i="55"/>
  <c r="X12" i="55"/>
  <c r="T12" i="55"/>
  <c r="V19" i="55" s="1"/>
  <c r="P12" i="55"/>
  <c r="R25" i="55" s="1"/>
  <c r="H12" i="55"/>
  <c r="J21" i="55" s="1"/>
  <c r="D12" i="55"/>
  <c r="F32" i="55" s="1"/>
  <c r="D6" i="55"/>
  <c r="D4" i="55"/>
  <c r="V31" i="54"/>
  <c r="J31" i="54"/>
  <c r="F31" i="54"/>
  <c r="T29" i="54"/>
  <c r="Z29" i="54" s="1"/>
  <c r="P29" i="54"/>
  <c r="X29" i="54" s="1"/>
  <c r="J29" i="54"/>
  <c r="H29" i="54"/>
  <c r="D29" i="54"/>
  <c r="L29" i="54" s="1"/>
  <c r="N29" i="54" s="1"/>
  <c r="V28" i="54"/>
  <c r="T28" i="54"/>
  <c r="X28" i="54" s="1"/>
  <c r="Z28" i="54" s="1"/>
  <c r="P28" i="54"/>
  <c r="L28" i="54"/>
  <c r="N28" i="54" s="1"/>
  <c r="J28" i="54"/>
  <c r="H28" i="54"/>
  <c r="F28" i="54"/>
  <c r="D28" i="54"/>
  <c r="J26" i="54"/>
  <c r="Z24" i="54"/>
  <c r="X24" i="54"/>
  <c r="V24" i="54"/>
  <c r="N24" i="54"/>
  <c r="L24" i="54"/>
  <c r="F24" i="54"/>
  <c r="V22" i="54"/>
  <c r="J22" i="54"/>
  <c r="F22" i="54"/>
  <c r="T20" i="54"/>
  <c r="Z20" i="54" s="1"/>
  <c r="P20" i="54"/>
  <c r="X20" i="54" s="1"/>
  <c r="N20" i="54"/>
  <c r="J20" i="54"/>
  <c r="H20" i="54"/>
  <c r="D20" i="54"/>
  <c r="L20" i="54" s="1"/>
  <c r="Z18" i="54"/>
  <c r="V18" i="54"/>
  <c r="T18" i="54"/>
  <c r="X18" i="54" s="1"/>
  <c r="P18" i="54"/>
  <c r="N18" i="54"/>
  <c r="L18" i="54"/>
  <c r="J18" i="54"/>
  <c r="H18" i="54"/>
  <c r="F18" i="54"/>
  <c r="D18" i="54"/>
  <c r="T16" i="54"/>
  <c r="T22" i="54" s="1"/>
  <c r="J16" i="54"/>
  <c r="D16" i="54"/>
  <c r="D22" i="54" s="1"/>
  <c r="Z14" i="54"/>
  <c r="V14" i="54"/>
  <c r="T14" i="54"/>
  <c r="X14" i="54" s="1"/>
  <c r="P14" i="54"/>
  <c r="N14" i="54"/>
  <c r="L14" i="54"/>
  <c r="J14" i="54"/>
  <c r="H14" i="54"/>
  <c r="F14" i="54"/>
  <c r="D14" i="54"/>
  <c r="Z12" i="54"/>
  <c r="T12" i="54"/>
  <c r="V29" i="54" s="1"/>
  <c r="P12" i="54"/>
  <c r="R24" i="54" s="1"/>
  <c r="N12" i="54"/>
  <c r="H12" i="54"/>
  <c r="H16" i="54" s="1"/>
  <c r="D12" i="54"/>
  <c r="F29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D15" i="53"/>
  <c r="T13" i="53"/>
  <c r="Z13" i="53" s="1"/>
  <c r="P13" i="53"/>
  <c r="H13" i="53"/>
  <c r="N13" i="53" s="1"/>
  <c r="D13" i="53"/>
  <c r="B13" i="53"/>
  <c r="T12" i="53"/>
  <c r="V22" i="53" s="1"/>
  <c r="P12" i="53"/>
  <c r="R18" i="53" s="1"/>
  <c r="H12" i="53"/>
  <c r="J20" i="53" s="1"/>
  <c r="D12" i="53"/>
  <c r="F22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36" i="52" s="1"/>
  <c r="P12" i="52"/>
  <c r="R36" i="52" s="1"/>
  <c r="H12" i="52"/>
  <c r="D12" i="52"/>
  <c r="F36" i="52" s="1"/>
  <c r="D5" i="52"/>
  <c r="D4" i="52"/>
  <c r="Z98" i="51"/>
  <c r="X98" i="51"/>
  <c r="N98" i="51"/>
  <c r="L98" i="51"/>
  <c r="T94" i="51"/>
  <c r="P94" i="51"/>
  <c r="X94" i="51" s="1"/>
  <c r="Z94" i="51" s="1"/>
  <c r="H94" i="51"/>
  <c r="D94" i="51"/>
  <c r="L94" i="51" s="1"/>
  <c r="N94" i="51" s="1"/>
  <c r="B94" i="51"/>
  <c r="T93" i="51"/>
  <c r="T91" i="51" s="1"/>
  <c r="P93" i="51"/>
  <c r="X93" i="51" s="1"/>
  <c r="N93" i="51"/>
  <c r="H93" i="51"/>
  <c r="D93" i="51"/>
  <c r="D91" i="51" s="1"/>
  <c r="L91" i="51" s="1"/>
  <c r="B93" i="51"/>
  <c r="X92" i="51"/>
  <c r="Z92" i="51" s="1"/>
  <c r="T92" i="51"/>
  <c r="P92" i="51"/>
  <c r="H92" i="51"/>
  <c r="L92" i="51" s="1"/>
  <c r="N92" i="51" s="1"/>
  <c r="D92" i="51"/>
  <c r="B92" i="51"/>
  <c r="P91" i="51"/>
  <c r="H91" i="51"/>
  <c r="Z89" i="51"/>
  <c r="X89" i="51"/>
  <c r="N89" i="51"/>
  <c r="L89" i="51"/>
  <c r="B89" i="51"/>
  <c r="T88" i="51"/>
  <c r="P88" i="51"/>
  <c r="X88" i="51" s="1"/>
  <c r="Z88" i="51" s="1"/>
  <c r="N88" i="51"/>
  <c r="L88" i="51"/>
  <c r="H88" i="51"/>
  <c r="D88" i="51"/>
  <c r="B88" i="51"/>
  <c r="X87" i="51"/>
  <c r="Z87" i="51" s="1"/>
  <c r="L87" i="51"/>
  <c r="N87" i="51" s="1"/>
  <c r="B87" i="51"/>
  <c r="X86" i="51"/>
  <c r="Z86" i="51" s="1"/>
  <c r="T86" i="51"/>
  <c r="P86" i="51"/>
  <c r="H86" i="51"/>
  <c r="D86" i="51"/>
  <c r="B86" i="51"/>
  <c r="Z85" i="51"/>
  <c r="X85" i="51"/>
  <c r="N85" i="51"/>
  <c r="L85" i="51"/>
  <c r="B85" i="51"/>
  <c r="Z84" i="51"/>
  <c r="X84" i="51"/>
  <c r="N84" i="51"/>
  <c r="L84" i="51"/>
  <c r="B84" i="51"/>
  <c r="X83" i="51"/>
  <c r="Z83" i="51" s="1"/>
  <c r="N83" i="51"/>
  <c r="L83" i="51"/>
  <c r="B83" i="51"/>
  <c r="X82" i="51"/>
  <c r="Z82" i="51" s="1"/>
  <c r="T82" i="51"/>
  <c r="P82" i="51"/>
  <c r="H82" i="51"/>
  <c r="D82" i="51"/>
  <c r="B82" i="51"/>
  <c r="X81" i="51"/>
  <c r="Z81" i="51" s="1"/>
  <c r="N81" i="51"/>
  <c r="L81" i="51"/>
  <c r="B81" i="51"/>
  <c r="T80" i="51"/>
  <c r="P80" i="51"/>
  <c r="H80" i="51"/>
  <c r="D80" i="51"/>
  <c r="L80" i="51" s="1"/>
  <c r="N80" i="51" s="1"/>
  <c r="B80" i="51"/>
  <c r="X79" i="51"/>
  <c r="Z79" i="51" s="1"/>
  <c r="N79" i="51"/>
  <c r="L79" i="51"/>
  <c r="B79" i="51"/>
  <c r="T78" i="51"/>
  <c r="P78" i="51"/>
  <c r="X78" i="51" s="1"/>
  <c r="Z78" i="51" s="1"/>
  <c r="N78" i="51"/>
  <c r="H78" i="51"/>
  <c r="D78" i="51"/>
  <c r="L78" i="51" s="1"/>
  <c r="B78" i="51"/>
  <c r="Z77" i="51"/>
  <c r="X77" i="51"/>
  <c r="N77" i="51"/>
  <c r="L77" i="51"/>
  <c r="B77" i="51"/>
  <c r="Z76" i="51"/>
  <c r="X76" i="51"/>
  <c r="N76" i="51"/>
  <c r="L76" i="51"/>
  <c r="B76" i="51"/>
  <c r="T75" i="51"/>
  <c r="Z75" i="51" s="1"/>
  <c r="P75" i="51"/>
  <c r="X75" i="51" s="1"/>
  <c r="N75" i="51"/>
  <c r="H75" i="51"/>
  <c r="D75" i="51"/>
  <c r="L75" i="51" s="1"/>
  <c r="B75" i="51"/>
  <c r="Z74" i="51"/>
  <c r="X74" i="51"/>
  <c r="N74" i="51"/>
  <c r="L74" i="51"/>
  <c r="B74" i="51"/>
  <c r="Z73" i="51"/>
  <c r="T73" i="51"/>
  <c r="P73" i="51"/>
  <c r="X73" i="51" s="1"/>
  <c r="H73" i="51"/>
  <c r="N73" i="51" s="1"/>
  <c r="D73" i="51"/>
  <c r="B73" i="51"/>
  <c r="Z72" i="51"/>
  <c r="X72" i="51"/>
  <c r="N72" i="51"/>
  <c r="L72" i="51"/>
  <c r="B72" i="51"/>
  <c r="T71" i="51"/>
  <c r="P71" i="51"/>
  <c r="L71" i="51"/>
  <c r="N71" i="51" s="1"/>
  <c r="H71" i="51"/>
  <c r="D71" i="51"/>
  <c r="B71" i="51"/>
  <c r="X70" i="51"/>
  <c r="Z70" i="51" s="1"/>
  <c r="N70" i="51"/>
  <c r="L70" i="51"/>
  <c r="B70" i="51"/>
  <c r="X69" i="51"/>
  <c r="Z69" i="51" s="1"/>
  <c r="T69" i="51"/>
  <c r="P69" i="51"/>
  <c r="H69" i="51"/>
  <c r="N69" i="51" s="1"/>
  <c r="D69" i="51"/>
  <c r="B69" i="51"/>
  <c r="Z68" i="51"/>
  <c r="X68" i="51"/>
  <c r="N68" i="51"/>
  <c r="L68" i="51"/>
  <c r="B68" i="51"/>
  <c r="X67" i="51"/>
  <c r="Z67" i="51" s="1"/>
  <c r="L67" i="51"/>
  <c r="N67" i="51" s="1"/>
  <c r="B67" i="51"/>
  <c r="Z66" i="51"/>
  <c r="X66" i="51"/>
  <c r="N66" i="51"/>
  <c r="L66" i="51"/>
  <c r="B66" i="51"/>
  <c r="X65" i="51"/>
  <c r="Z65" i="51" s="1"/>
  <c r="N65" i="51"/>
  <c r="L65" i="51"/>
  <c r="B65" i="51"/>
  <c r="Z64" i="51"/>
  <c r="X64" i="51"/>
  <c r="N64" i="51"/>
  <c r="L64" i="51"/>
  <c r="B64" i="51"/>
  <c r="T63" i="51"/>
  <c r="Z63" i="51" s="1"/>
  <c r="P63" i="51"/>
  <c r="X63" i="51" s="1"/>
  <c r="L63" i="51"/>
  <c r="N63" i="51" s="1"/>
  <c r="H63" i="51"/>
  <c r="D63" i="51"/>
  <c r="B63" i="51"/>
  <c r="X62" i="51"/>
  <c r="Z62" i="51" s="1"/>
  <c r="L62" i="51"/>
  <c r="N62" i="51" s="1"/>
  <c r="B62" i="51"/>
  <c r="X61" i="51"/>
  <c r="Z61" i="51" s="1"/>
  <c r="N61" i="51"/>
  <c r="L61" i="51"/>
  <c r="B61" i="51"/>
  <c r="Z60" i="51"/>
  <c r="X60" i="51"/>
  <c r="N60" i="51"/>
  <c r="L60" i="51"/>
  <c r="B60" i="51"/>
  <c r="X59" i="51"/>
  <c r="Z59" i="51" s="1"/>
  <c r="L59" i="51"/>
  <c r="N59" i="51" s="1"/>
  <c r="B59" i="51"/>
  <c r="X58" i="51"/>
  <c r="Z58" i="51" s="1"/>
  <c r="L58" i="51"/>
  <c r="N58" i="51" s="1"/>
  <c r="B58" i="51"/>
  <c r="Z57" i="51"/>
  <c r="X57" i="51"/>
  <c r="L57" i="51"/>
  <c r="N57" i="51" s="1"/>
  <c r="B57" i="51"/>
  <c r="Z56" i="51"/>
  <c r="X56" i="51"/>
  <c r="N56" i="51"/>
  <c r="L56" i="51"/>
  <c r="B56" i="51"/>
  <c r="X55" i="51"/>
  <c r="Z55" i="51" s="1"/>
  <c r="L55" i="51"/>
  <c r="N55" i="51" s="1"/>
  <c r="B55" i="51"/>
  <c r="X54" i="51"/>
  <c r="Z54" i="51" s="1"/>
  <c r="L54" i="51"/>
  <c r="N54" i="51" s="1"/>
  <c r="B54" i="51"/>
  <c r="T53" i="51"/>
  <c r="P53" i="51"/>
  <c r="X53" i="51" s="1"/>
  <c r="Z53" i="51" s="1"/>
  <c r="H53" i="51"/>
  <c r="D53" i="51"/>
  <c r="B53" i="51"/>
  <c r="T52" i="51" a="1"/>
  <c r="T52" i="51"/>
  <c r="P52" i="51" a="1"/>
  <c r="P52" i="51"/>
  <c r="X52" i="51" s="1"/>
  <c r="N52" i="51"/>
  <c r="H52" i="51" a="1"/>
  <c r="H52" i="51"/>
  <c r="D52" i="51" a="1"/>
  <c r="D52" i="51"/>
  <c r="L52" i="51" s="1"/>
  <c r="Z48" i="51"/>
  <c r="X48" i="51"/>
  <c r="N48" i="51"/>
  <c r="L48" i="51"/>
  <c r="B48" i="51"/>
  <c r="X47" i="51"/>
  <c r="Z47" i="51" s="1"/>
  <c r="N47" i="51"/>
  <c r="L47" i="51"/>
  <c r="B47" i="51"/>
  <c r="Z46" i="51"/>
  <c r="X46" i="51"/>
  <c r="L46" i="51"/>
  <c r="N46" i="51" s="1"/>
  <c r="B46" i="51"/>
  <c r="Z45" i="51"/>
  <c r="X45" i="51"/>
  <c r="N45" i="51"/>
  <c r="L45" i="51"/>
  <c r="B45" i="51"/>
  <c r="Z44" i="51"/>
  <c r="X44" i="51"/>
  <c r="N44" i="51"/>
  <c r="L44" i="51"/>
  <c r="B44" i="51"/>
  <c r="X43" i="51"/>
  <c r="Z43" i="51" s="1"/>
  <c r="L43" i="51"/>
  <c r="N43" i="51" s="1"/>
  <c r="B43" i="51"/>
  <c r="X42" i="51"/>
  <c r="Z42" i="51" s="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X39" i="51"/>
  <c r="Z39" i="51" s="1"/>
  <c r="L39" i="51"/>
  <c r="N39" i="51" s="1"/>
  <c r="B39" i="51"/>
  <c r="Z38" i="51"/>
  <c r="X38" i="51"/>
  <c r="L38" i="51"/>
  <c r="N38" i="51" s="1"/>
  <c r="B38" i="51"/>
  <c r="Z37" i="51"/>
  <c r="X37" i="51"/>
  <c r="N37" i="51"/>
  <c r="L37" i="51"/>
  <c r="B37" i="51"/>
  <c r="Z36" i="51"/>
  <c r="X36" i="51"/>
  <c r="N36" i="51"/>
  <c r="L36" i="51"/>
  <c r="B36" i="51"/>
  <c r="T35" i="51"/>
  <c r="P35" i="51"/>
  <c r="H35" i="51"/>
  <c r="D35" i="51"/>
  <c r="L35" i="51" s="1"/>
  <c r="N35" i="51" s="1"/>
  <c r="T33" i="51"/>
  <c r="Z33" i="51" s="1"/>
  <c r="P33" i="51"/>
  <c r="X33" i="51" s="1"/>
  <c r="H33" i="51"/>
  <c r="N33" i="51" s="1"/>
  <c r="D33" i="51"/>
  <c r="B33" i="51"/>
  <c r="Z32" i="51"/>
  <c r="X32" i="51"/>
  <c r="T32" i="51"/>
  <c r="P32" i="51"/>
  <c r="L32" i="51"/>
  <c r="H32" i="51"/>
  <c r="N32" i="51" s="1"/>
  <c r="D32" i="51"/>
  <c r="B32" i="51"/>
  <c r="Z31" i="51"/>
  <c r="X31" i="51"/>
  <c r="T31" i="51"/>
  <c r="P31" i="51"/>
  <c r="N31" i="51"/>
  <c r="L31" i="51"/>
  <c r="H31" i="51"/>
  <c r="D31" i="51"/>
  <c r="B31" i="51"/>
  <c r="T30" i="51"/>
  <c r="P30" i="51"/>
  <c r="X30" i="51" s="1"/>
  <c r="Z30" i="51" s="1"/>
  <c r="H30" i="51"/>
  <c r="D30" i="51"/>
  <c r="B30" i="51"/>
  <c r="X29" i="51"/>
  <c r="T29" i="51"/>
  <c r="P29" i="51"/>
  <c r="L29" i="51"/>
  <c r="H29" i="51"/>
  <c r="D29" i="51"/>
  <c r="B29" i="51"/>
  <c r="X28" i="51"/>
  <c r="T28" i="51"/>
  <c r="Z28" i="51" s="1"/>
  <c r="P28" i="51"/>
  <c r="N28" i="51"/>
  <c r="L28" i="51"/>
  <c r="H28" i="51"/>
  <c r="D28" i="51"/>
  <c r="B28" i="51"/>
  <c r="T27" i="51"/>
  <c r="P27" i="51"/>
  <c r="X27" i="51" s="1"/>
  <c r="Z27" i="51" s="1"/>
  <c r="N27" i="51"/>
  <c r="L27" i="51"/>
  <c r="H27" i="51"/>
  <c r="D27" i="51"/>
  <c r="B27" i="51"/>
  <c r="T26" i="51"/>
  <c r="P26" i="51"/>
  <c r="X26" i="51" s="1"/>
  <c r="Z26" i="51" s="1"/>
  <c r="N26" i="51"/>
  <c r="H26" i="51"/>
  <c r="D26" i="51"/>
  <c r="B26" i="51"/>
  <c r="X25" i="51"/>
  <c r="T25" i="51"/>
  <c r="Z25" i="51" s="1"/>
  <c r="P25" i="51"/>
  <c r="L25" i="51"/>
  <c r="H25" i="51"/>
  <c r="N25" i="51" s="1"/>
  <c r="D25" i="51"/>
  <c r="B25" i="51"/>
  <c r="X24" i="51"/>
  <c r="T24" i="51"/>
  <c r="Z24" i="51" s="1"/>
  <c r="P24" i="51"/>
  <c r="N24" i="51"/>
  <c r="L24" i="51"/>
  <c r="H24" i="51"/>
  <c r="D24" i="51"/>
  <c r="B24" i="51"/>
  <c r="T23" i="51"/>
  <c r="P23" i="51"/>
  <c r="X23" i="51" s="1"/>
  <c r="Z23" i="51" s="1"/>
  <c r="N23" i="51"/>
  <c r="L23" i="51"/>
  <c r="H23" i="51"/>
  <c r="D23" i="51"/>
  <c r="B23" i="51"/>
  <c r="T22" i="51"/>
  <c r="P22" i="51"/>
  <c r="X22" i="51" s="1"/>
  <c r="Z22" i="51" s="1"/>
  <c r="H22" i="51"/>
  <c r="D22" i="51"/>
  <c r="B22" i="51"/>
  <c r="X21" i="51"/>
  <c r="T21" i="51"/>
  <c r="P21" i="51"/>
  <c r="L21" i="51"/>
  <c r="H21" i="51"/>
  <c r="D21" i="51"/>
  <c r="B21" i="51"/>
  <c r="X20" i="51"/>
  <c r="T20" i="51"/>
  <c r="Z20" i="51" s="1"/>
  <c r="P20" i="51"/>
  <c r="N20" i="51"/>
  <c r="L20" i="51"/>
  <c r="H20" i="51"/>
  <c r="D20" i="51"/>
  <c r="B20" i="51"/>
  <c r="Z19" i="51"/>
  <c r="T19" i="51"/>
  <c r="P19" i="51"/>
  <c r="X19" i="51" s="1"/>
  <c r="N19" i="51"/>
  <c r="L19" i="51"/>
  <c r="H19" i="51"/>
  <c r="D19" i="51"/>
  <c r="B19" i="51"/>
  <c r="T18" i="51"/>
  <c r="P18" i="51"/>
  <c r="H18" i="51"/>
  <c r="D18" i="51"/>
  <c r="L18" i="51" s="1"/>
  <c r="N18" i="51" s="1"/>
  <c r="B18" i="51"/>
  <c r="X17" i="51"/>
  <c r="T17" i="51"/>
  <c r="P17" i="51"/>
  <c r="H17" i="51"/>
  <c r="N17" i="51" s="1"/>
  <c r="D17" i="51"/>
  <c r="L17" i="51" s="1"/>
  <c r="B17" i="51"/>
  <c r="Z16" i="51"/>
  <c r="X16" i="51"/>
  <c r="T16" i="51"/>
  <c r="P16" i="51"/>
  <c r="L16" i="51"/>
  <c r="H16" i="51"/>
  <c r="N16" i="51" s="1"/>
  <c r="D16" i="51"/>
  <c r="B16" i="51"/>
  <c r="Z15" i="51"/>
  <c r="X15" i="51"/>
  <c r="T15" i="51"/>
  <c r="P15" i="51"/>
  <c r="H15" i="51"/>
  <c r="D15" i="51"/>
  <c r="L15" i="51" s="1"/>
  <c r="N15" i="51" s="1"/>
  <c r="B15" i="51"/>
  <c r="T14" i="51"/>
  <c r="P14" i="51"/>
  <c r="X14" i="51" s="1"/>
  <c r="Z14" i="51" s="1"/>
  <c r="H14" i="51"/>
  <c r="D14" i="51"/>
  <c r="B14" i="51"/>
  <c r="T13" i="51"/>
  <c r="P13" i="51"/>
  <c r="X13" i="51" s="1"/>
  <c r="L13" i="51"/>
  <c r="H13" i="51"/>
  <c r="N13" i="51" s="1"/>
  <c r="D13" i="51"/>
  <c r="D12" i="51" s="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D33" i="50"/>
  <c r="T29" i="50"/>
  <c r="Z29" i="50" s="1"/>
  <c r="P29" i="50"/>
  <c r="H29" i="50"/>
  <c r="N29" i="50" s="1"/>
  <c r="D29" i="50"/>
  <c r="T25" i="50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R22" i="50" s="1"/>
  <c r="H12" i="50"/>
  <c r="D12" i="50"/>
  <c r="F20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31" i="49" s="1"/>
  <c r="P12" i="49"/>
  <c r="R31" i="49" s="1"/>
  <c r="H12" i="49"/>
  <c r="J34" i="49" s="1"/>
  <c r="D12" i="49"/>
  <c r="F24" i="49" s="1"/>
  <c r="D5" i="49"/>
  <c r="D4" i="49"/>
  <c r="X66" i="48"/>
  <c r="Z66" i="48" s="1"/>
  <c r="N66" i="48"/>
  <c r="L66" i="48"/>
  <c r="T62" i="48"/>
  <c r="P62" i="48"/>
  <c r="H62" i="48"/>
  <c r="D62" i="48"/>
  <c r="L62" i="48" s="1"/>
  <c r="N62" i="48" s="1"/>
  <c r="B62" i="48"/>
  <c r="H61" i="48"/>
  <c r="Z59" i="48"/>
  <c r="X59" i="48"/>
  <c r="N59" i="48"/>
  <c r="L59" i="48"/>
  <c r="B59" i="48"/>
  <c r="T58" i="48"/>
  <c r="P58" i="48"/>
  <c r="H58" i="48"/>
  <c r="N58" i="48" s="1"/>
  <c r="D58" i="48"/>
  <c r="L58" i="48" s="1"/>
  <c r="B58" i="48"/>
  <c r="Z57" i="48"/>
  <c r="X57" i="48"/>
  <c r="N57" i="48"/>
  <c r="L57" i="48"/>
  <c r="B57" i="48"/>
  <c r="T56" i="48"/>
  <c r="P56" i="48"/>
  <c r="X56" i="48" s="1"/>
  <c r="H56" i="48"/>
  <c r="D56" i="48"/>
  <c r="L56" i="48" s="1"/>
  <c r="N56" i="48" s="1"/>
  <c r="B56" i="48"/>
  <c r="Z55" i="48"/>
  <c r="X55" i="48"/>
  <c r="N55" i="48"/>
  <c r="L55" i="48"/>
  <c r="B55" i="48"/>
  <c r="Z54" i="48"/>
  <c r="X54" i="48"/>
  <c r="N54" i="48"/>
  <c r="L54" i="48"/>
  <c r="B54" i="48"/>
  <c r="T53" i="48"/>
  <c r="P53" i="48"/>
  <c r="X53" i="48" s="1"/>
  <c r="N53" i="48"/>
  <c r="L53" i="48"/>
  <c r="H53" i="48"/>
  <c r="D53" i="48"/>
  <c r="B53" i="48"/>
  <c r="X52" i="48"/>
  <c r="Z52" i="48" s="1"/>
  <c r="N52" i="48"/>
  <c r="L52" i="48"/>
  <c r="B52" i="48"/>
  <c r="Z51" i="48"/>
  <c r="X51" i="48"/>
  <c r="N51" i="48"/>
  <c r="L51" i="48"/>
  <c r="B51" i="48"/>
  <c r="Z50" i="48"/>
  <c r="X50" i="48"/>
  <c r="N50" i="48"/>
  <c r="L50" i="48"/>
  <c r="F50" i="48"/>
  <c r="B50" i="48"/>
  <c r="Z49" i="48"/>
  <c r="X49" i="48"/>
  <c r="N49" i="48"/>
  <c r="L49" i="48"/>
  <c r="B49" i="48"/>
  <c r="T48" i="48"/>
  <c r="P48" i="48"/>
  <c r="X48" i="48" s="1"/>
  <c r="N48" i="48"/>
  <c r="H48" i="48"/>
  <c r="D48" i="48"/>
  <c r="L48" i="48" s="1"/>
  <c r="B48" i="48"/>
  <c r="Z47" i="48"/>
  <c r="X47" i="48"/>
  <c r="L47" i="48"/>
  <c r="N47" i="48" s="1"/>
  <c r="B47" i="48"/>
  <c r="T46" i="48"/>
  <c r="P46" i="48"/>
  <c r="X46" i="48" s="1"/>
  <c r="Z46" i="48" s="1"/>
  <c r="L46" i="48"/>
  <c r="H46" i="48"/>
  <c r="N46" i="48" s="1"/>
  <c r="D46" i="48"/>
  <c r="B46" i="48"/>
  <c r="Z45" i="48"/>
  <c r="X45" i="48"/>
  <c r="N45" i="48"/>
  <c r="L45" i="48"/>
  <c r="B45" i="48"/>
  <c r="X44" i="48"/>
  <c r="T44" i="48"/>
  <c r="Z44" i="48" s="1"/>
  <c r="P44" i="48"/>
  <c r="H44" i="48"/>
  <c r="D44" i="48"/>
  <c r="B44" i="48"/>
  <c r="X43" i="48"/>
  <c r="Z43" i="48" s="1"/>
  <c r="N43" i="48"/>
  <c r="L43" i="48"/>
  <c r="B43" i="48"/>
  <c r="Z42" i="48"/>
  <c r="X42" i="48"/>
  <c r="N42" i="48"/>
  <c r="L42" i="48"/>
  <c r="B42" i="48"/>
  <c r="T41" i="48"/>
  <c r="P41" i="48"/>
  <c r="X41" i="48" s="1"/>
  <c r="H41" i="48"/>
  <c r="N41" i="48" s="1"/>
  <c r="D41" i="48"/>
  <c r="L41" i="48" s="1"/>
  <c r="B41" i="48"/>
  <c r="Z40" i="48"/>
  <c r="X40" i="48"/>
  <c r="L40" i="48"/>
  <c r="N40" i="48" s="1"/>
  <c r="B40" i="48"/>
  <c r="T39" i="48"/>
  <c r="Z39" i="48" s="1"/>
  <c r="P39" i="48"/>
  <c r="X39" i="48" s="1"/>
  <c r="H39" i="48"/>
  <c r="D39" i="48"/>
  <c r="L39" i="48" s="1"/>
  <c r="B39" i="48"/>
  <c r="Z38" i="48"/>
  <c r="X38" i="48"/>
  <c r="N38" i="48"/>
  <c r="L38" i="48"/>
  <c r="B38" i="48"/>
  <c r="T37" i="48"/>
  <c r="Z37" i="48" s="1"/>
  <c r="P37" i="48"/>
  <c r="X37" i="48" s="1"/>
  <c r="N37" i="48"/>
  <c r="L37" i="48"/>
  <c r="H37" i="48"/>
  <c r="D37" i="48"/>
  <c r="B37" i="48"/>
  <c r="X36" i="48"/>
  <c r="Z36" i="48" s="1"/>
  <c r="N36" i="48"/>
  <c r="L36" i="48"/>
  <c r="B36" i="48"/>
  <c r="Z35" i="48"/>
  <c r="X35" i="48"/>
  <c r="L35" i="48"/>
  <c r="N35" i="48" s="1"/>
  <c r="B35" i="48"/>
  <c r="Z34" i="48"/>
  <c r="X34" i="48"/>
  <c r="N34" i="48"/>
  <c r="L34" i="48"/>
  <c r="F34" i="48"/>
  <c r="B34" i="48"/>
  <c r="Z33" i="48"/>
  <c r="X33" i="48"/>
  <c r="N33" i="48"/>
  <c r="L33" i="48"/>
  <c r="B33" i="48"/>
  <c r="Z32" i="48"/>
  <c r="X32" i="48"/>
  <c r="L32" i="48"/>
  <c r="N32" i="48" s="1"/>
  <c r="B32" i="48"/>
  <c r="X31" i="48"/>
  <c r="Z31" i="48" s="1"/>
  <c r="N31" i="48"/>
  <c r="L31" i="48"/>
  <c r="B31" i="48"/>
  <c r="T30" i="48"/>
  <c r="P30" i="48"/>
  <c r="H30" i="48"/>
  <c r="N30" i="48" s="1"/>
  <c r="D30" i="48"/>
  <c r="L30" i="48" s="1"/>
  <c r="B30" i="48"/>
  <c r="Z29" i="48"/>
  <c r="X29" i="48"/>
  <c r="N29" i="48"/>
  <c r="L29" i="48"/>
  <c r="B29" i="48"/>
  <c r="Z28" i="48"/>
  <c r="X28" i="48"/>
  <c r="L28" i="48"/>
  <c r="N28" i="48" s="1"/>
  <c r="B28" i="48"/>
  <c r="X27" i="48"/>
  <c r="Z27" i="48" s="1"/>
  <c r="N27" i="48"/>
  <c r="L27" i="48"/>
  <c r="B27" i="48"/>
  <c r="Z26" i="48"/>
  <c r="X26" i="48"/>
  <c r="N26" i="48"/>
  <c r="L26" i="48"/>
  <c r="B26" i="48"/>
  <c r="Z25" i="48"/>
  <c r="X25" i="48"/>
  <c r="N25" i="48"/>
  <c r="L25" i="48"/>
  <c r="B25" i="48"/>
  <c r="X24" i="48"/>
  <c r="Z24" i="48" s="1"/>
  <c r="N24" i="48"/>
  <c r="L24" i="48"/>
  <c r="B24" i="48"/>
  <c r="Z23" i="48"/>
  <c r="X23" i="48"/>
  <c r="L23" i="48"/>
  <c r="N23" i="48" s="1"/>
  <c r="B23" i="48"/>
  <c r="Z22" i="48"/>
  <c r="X22" i="48"/>
  <c r="N22" i="48"/>
  <c r="L22" i="48"/>
  <c r="B22" i="48"/>
  <c r="Z21" i="48"/>
  <c r="X21" i="48"/>
  <c r="N21" i="48"/>
  <c r="L21" i="48"/>
  <c r="B21" i="48"/>
  <c r="T20" i="48"/>
  <c r="P20" i="48"/>
  <c r="X20" i="48" s="1"/>
  <c r="H20" i="48"/>
  <c r="D20" i="48"/>
  <c r="L20" i="48" s="1"/>
  <c r="N20" i="48" s="1"/>
  <c r="B20" i="48"/>
  <c r="T19" i="48" a="1"/>
  <c r="T19" i="48" s="1"/>
  <c r="P19" i="48" a="1"/>
  <c r="P19" i="48" s="1"/>
  <c r="H19" i="48" a="1"/>
  <c r="H19" i="48" s="1"/>
  <c r="N19" i="48" s="1"/>
  <c r="D19" i="48" a="1"/>
  <c r="D19" i="48" s="1"/>
  <c r="L19" i="48" s="1"/>
  <c r="T15" i="48"/>
  <c r="Z15" i="48" s="1"/>
  <c r="P15" i="48"/>
  <c r="X15" i="48" s="1"/>
  <c r="H15" i="48"/>
  <c r="N15" i="48" s="1"/>
  <c r="D15" i="48"/>
  <c r="Z13" i="48"/>
  <c r="X13" i="48"/>
  <c r="T13" i="48"/>
  <c r="T12" i="48" s="1"/>
  <c r="V45" i="48" s="1"/>
  <c r="P13" i="48"/>
  <c r="P12" i="48" s="1"/>
  <c r="R15" i="48" s="1"/>
  <c r="L13" i="48"/>
  <c r="H13" i="48"/>
  <c r="N13" i="48" s="1"/>
  <c r="D13" i="48"/>
  <c r="B13" i="48"/>
  <c r="D12" i="48"/>
  <c r="F54" i="48" s="1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D20" i="47"/>
  <c r="T16" i="47"/>
  <c r="Z16" i="47" s="1"/>
  <c r="P16" i="47"/>
  <c r="H16" i="47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1" i="47" s="1"/>
  <c r="P12" i="47"/>
  <c r="R34" i="47" s="1"/>
  <c r="H12" i="47"/>
  <c r="J36" i="47" s="1"/>
  <c r="D12" i="47"/>
  <c r="D5" i="47"/>
  <c r="D4" i="47"/>
  <c r="B39" i="46"/>
  <c r="B38" i="46"/>
  <c r="T34" i="46"/>
  <c r="Z34" i="46" s="1"/>
  <c r="P34" i="46"/>
  <c r="H34" i="46"/>
  <c r="N34" i="46" s="1"/>
  <c r="D34" i="46"/>
  <c r="T33" i="46"/>
  <c r="P33" i="46"/>
  <c r="H33" i="46"/>
  <c r="N33" i="46" s="1"/>
  <c r="D33" i="46"/>
  <c r="T29" i="46"/>
  <c r="P29" i="46"/>
  <c r="H29" i="46"/>
  <c r="N29" i="46" s="1"/>
  <c r="D29" i="46"/>
  <c r="T25" i="46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24" i="46" s="1"/>
  <c r="P12" i="46"/>
  <c r="R18" i="46" s="1"/>
  <c r="H12" i="46"/>
  <c r="J20" i="46" s="1"/>
  <c r="D12" i="46"/>
  <c r="F24" i="46" s="1"/>
  <c r="D5" i="46"/>
  <c r="D4" i="46"/>
  <c r="X94" i="45"/>
  <c r="Z94" i="45" s="1"/>
  <c r="N94" i="45"/>
  <c r="L94" i="45"/>
  <c r="Z90" i="45"/>
  <c r="X90" i="45"/>
  <c r="T90" i="45"/>
  <c r="P90" i="45"/>
  <c r="H90" i="45"/>
  <c r="N90" i="45" s="1"/>
  <c r="D90" i="45"/>
  <c r="L90" i="45" s="1"/>
  <c r="Z88" i="45"/>
  <c r="X88" i="45"/>
  <c r="N88" i="45"/>
  <c r="L88" i="45"/>
  <c r="B88" i="45"/>
  <c r="Z87" i="45"/>
  <c r="X87" i="45"/>
  <c r="N87" i="45"/>
  <c r="L87" i="45"/>
  <c r="B87" i="45"/>
  <c r="T86" i="45"/>
  <c r="Z86" i="45" s="1"/>
  <c r="P86" i="45"/>
  <c r="X86" i="45" s="1"/>
  <c r="N86" i="45"/>
  <c r="H86" i="45"/>
  <c r="D86" i="45"/>
  <c r="L86" i="45" s="1"/>
  <c r="B86" i="45"/>
  <c r="X85" i="45"/>
  <c r="Z85" i="45" s="1"/>
  <c r="N85" i="45"/>
  <c r="L85" i="45"/>
  <c r="B85" i="45"/>
  <c r="T84" i="45"/>
  <c r="P84" i="45"/>
  <c r="X84" i="45" s="1"/>
  <c r="Z84" i="45" s="1"/>
  <c r="H84" i="45"/>
  <c r="N84" i="45" s="1"/>
  <c r="D84" i="45"/>
  <c r="B84" i="45"/>
  <c r="Z83" i="45"/>
  <c r="X83" i="45"/>
  <c r="N83" i="45"/>
  <c r="L83" i="45"/>
  <c r="B83" i="45"/>
  <c r="T82" i="45"/>
  <c r="P82" i="45"/>
  <c r="N82" i="45"/>
  <c r="L82" i="45"/>
  <c r="H82" i="45"/>
  <c r="D82" i="45"/>
  <c r="B82" i="45"/>
  <c r="X81" i="45"/>
  <c r="Z81" i="45" s="1"/>
  <c r="N81" i="45"/>
  <c r="L81" i="45"/>
  <c r="B81" i="45"/>
  <c r="Z80" i="45"/>
  <c r="X80" i="45"/>
  <c r="N80" i="45"/>
  <c r="L80" i="45"/>
  <c r="B80" i="45"/>
  <c r="Z79" i="45"/>
  <c r="X79" i="45"/>
  <c r="N79" i="45"/>
  <c r="L79" i="45"/>
  <c r="B79" i="45"/>
  <c r="Z78" i="45"/>
  <c r="X78" i="45"/>
  <c r="N78" i="45"/>
  <c r="L78" i="45"/>
  <c r="B78" i="45"/>
  <c r="Z77" i="45"/>
  <c r="X77" i="45"/>
  <c r="L77" i="45"/>
  <c r="N77" i="45" s="1"/>
  <c r="B77" i="45"/>
  <c r="X76" i="45"/>
  <c r="Z76" i="45" s="1"/>
  <c r="N76" i="45"/>
  <c r="L76" i="45"/>
  <c r="B76" i="45"/>
  <c r="Z75" i="45"/>
  <c r="X75" i="45"/>
  <c r="N75" i="45"/>
  <c r="L75" i="45"/>
  <c r="B75" i="45"/>
  <c r="Z74" i="45"/>
  <c r="X74" i="45"/>
  <c r="N74" i="45"/>
  <c r="L74" i="45"/>
  <c r="B74" i="45"/>
  <c r="X73" i="45"/>
  <c r="T73" i="45"/>
  <c r="Z73" i="45" s="1"/>
  <c r="P73" i="45"/>
  <c r="H73" i="45"/>
  <c r="D73" i="45"/>
  <c r="B73" i="45"/>
  <c r="X72" i="45"/>
  <c r="Z72" i="45" s="1"/>
  <c r="N72" i="45"/>
  <c r="L72" i="45"/>
  <c r="B72" i="45"/>
  <c r="T71" i="45"/>
  <c r="P71" i="45"/>
  <c r="H71" i="45"/>
  <c r="N71" i="45" s="1"/>
  <c r="D71" i="45"/>
  <c r="L71" i="45" s="1"/>
  <c r="B71" i="45"/>
  <c r="Z70" i="45"/>
  <c r="X70" i="45"/>
  <c r="N70" i="45"/>
  <c r="L70" i="45"/>
  <c r="B70" i="45"/>
  <c r="X69" i="45"/>
  <c r="Z69" i="45" s="1"/>
  <c r="L69" i="45"/>
  <c r="N69" i="45" s="1"/>
  <c r="B69" i="45"/>
  <c r="X68" i="45"/>
  <c r="Z68" i="45" s="1"/>
  <c r="N68" i="45"/>
  <c r="L68" i="45"/>
  <c r="B68" i="45"/>
  <c r="Z67" i="45"/>
  <c r="X67" i="45"/>
  <c r="N67" i="45"/>
  <c r="L67" i="45"/>
  <c r="B67" i="45"/>
  <c r="T66" i="45"/>
  <c r="P66" i="45"/>
  <c r="X66" i="45" s="1"/>
  <c r="H66" i="45"/>
  <c r="D66" i="45"/>
  <c r="L66" i="45" s="1"/>
  <c r="N66" i="45" s="1"/>
  <c r="B66" i="45"/>
  <c r="X65" i="45"/>
  <c r="Z65" i="45" s="1"/>
  <c r="L65" i="45"/>
  <c r="N65" i="45" s="1"/>
  <c r="B65" i="45"/>
  <c r="X64" i="45"/>
  <c r="Z64" i="45" s="1"/>
  <c r="N64" i="45"/>
  <c r="L64" i="45"/>
  <c r="B64" i="45"/>
  <c r="Z63" i="45"/>
  <c r="X63" i="45"/>
  <c r="N63" i="45"/>
  <c r="L63" i="45"/>
  <c r="B63" i="45"/>
  <c r="V62" i="45"/>
  <c r="T62" i="45"/>
  <c r="Z62" i="45" s="1"/>
  <c r="P62" i="45"/>
  <c r="X62" i="45" s="1"/>
  <c r="H62" i="45"/>
  <c r="D62" i="45"/>
  <c r="L62" i="45" s="1"/>
  <c r="N62" i="45" s="1"/>
  <c r="B62" i="45"/>
  <c r="X61" i="45"/>
  <c r="Z61" i="45" s="1"/>
  <c r="L61" i="45"/>
  <c r="N61" i="45" s="1"/>
  <c r="B61" i="45"/>
  <c r="T60" i="45"/>
  <c r="P60" i="45"/>
  <c r="X60" i="45" s="1"/>
  <c r="Z60" i="45" s="1"/>
  <c r="H60" i="45"/>
  <c r="D60" i="45"/>
  <c r="B60" i="45"/>
  <c r="Z59" i="45"/>
  <c r="X59" i="45"/>
  <c r="N59" i="45"/>
  <c r="L59" i="45"/>
  <c r="B59" i="45"/>
  <c r="T58" i="45"/>
  <c r="P58" i="45"/>
  <c r="N58" i="45"/>
  <c r="L58" i="45"/>
  <c r="H58" i="45"/>
  <c r="D58" i="45"/>
  <c r="B58" i="45"/>
  <c r="X57" i="45"/>
  <c r="Z57" i="45" s="1"/>
  <c r="N57" i="45"/>
  <c r="L57" i="45"/>
  <c r="B57" i="45"/>
  <c r="Z56" i="45"/>
  <c r="X56" i="45"/>
  <c r="T56" i="45"/>
  <c r="P56" i="45"/>
  <c r="H56" i="45"/>
  <c r="N56" i="45" s="1"/>
  <c r="D56" i="45"/>
  <c r="L56" i="45" s="1"/>
  <c r="B56" i="45"/>
  <c r="Z55" i="45"/>
  <c r="X55" i="45"/>
  <c r="N55" i="45"/>
  <c r="L55" i="45"/>
  <c r="B55" i="45"/>
  <c r="V54" i="45"/>
  <c r="T54" i="45"/>
  <c r="Z54" i="45" s="1"/>
  <c r="P54" i="45"/>
  <c r="X54" i="45" s="1"/>
  <c r="H54" i="45"/>
  <c r="D54" i="45"/>
  <c r="L54" i="45" s="1"/>
  <c r="N54" i="45" s="1"/>
  <c r="B54" i="45"/>
  <c r="Z53" i="45"/>
  <c r="X53" i="45"/>
  <c r="N53" i="45"/>
  <c r="L53" i="45"/>
  <c r="B53" i="45"/>
  <c r="Z52" i="45"/>
  <c r="T52" i="45"/>
  <c r="P52" i="45"/>
  <c r="X52" i="45" s="1"/>
  <c r="H52" i="45"/>
  <c r="N52" i="45" s="1"/>
  <c r="D52" i="45"/>
  <c r="B52" i="45"/>
  <c r="Z51" i="45"/>
  <c r="X51" i="45"/>
  <c r="N51" i="45"/>
  <c r="L51" i="45"/>
  <c r="B51" i="45"/>
  <c r="T50" i="45"/>
  <c r="P50" i="45"/>
  <c r="N50" i="45"/>
  <c r="L50" i="45"/>
  <c r="H50" i="45"/>
  <c r="D50" i="45"/>
  <c r="B50" i="45"/>
  <c r="X49" i="45"/>
  <c r="Z49" i="45" s="1"/>
  <c r="L49" i="45"/>
  <c r="N49" i="45" s="1"/>
  <c r="B49" i="45"/>
  <c r="Z48" i="45"/>
  <c r="X48" i="45"/>
  <c r="T48" i="45"/>
  <c r="P48" i="45"/>
  <c r="H48" i="45"/>
  <c r="D48" i="45"/>
  <c r="L48" i="45" s="1"/>
  <c r="B48" i="45"/>
  <c r="Z47" i="45"/>
  <c r="X47" i="45"/>
  <c r="N47" i="45"/>
  <c r="L47" i="45"/>
  <c r="B47" i="45"/>
  <c r="V46" i="45"/>
  <c r="T46" i="45"/>
  <c r="Z46" i="45" s="1"/>
  <c r="P46" i="45"/>
  <c r="X46" i="45" s="1"/>
  <c r="H46" i="45"/>
  <c r="D46" i="45"/>
  <c r="L46" i="45" s="1"/>
  <c r="N46" i="45" s="1"/>
  <c r="B46" i="45"/>
  <c r="X45" i="45"/>
  <c r="Z45" i="45" s="1"/>
  <c r="L45" i="45"/>
  <c r="N45" i="45" s="1"/>
  <c r="B45" i="45"/>
  <c r="T44" i="45"/>
  <c r="P44" i="45"/>
  <c r="X44" i="45" s="1"/>
  <c r="Z44" i="45" s="1"/>
  <c r="H44" i="45"/>
  <c r="D44" i="45"/>
  <c r="B44" i="45"/>
  <c r="Z43" i="45"/>
  <c r="X43" i="45"/>
  <c r="N43" i="45"/>
  <c r="L43" i="45"/>
  <c r="B43" i="45"/>
  <c r="T42" i="45"/>
  <c r="P42" i="45"/>
  <c r="N42" i="45"/>
  <c r="L42" i="45"/>
  <c r="H42" i="45"/>
  <c r="D42" i="45"/>
  <c r="B42" i="45"/>
  <c r="X41" i="45"/>
  <c r="Z41" i="45" s="1"/>
  <c r="N41" i="45"/>
  <c r="L41" i="45"/>
  <c r="B41" i="45"/>
  <c r="Z40" i="45"/>
  <c r="X40" i="45"/>
  <c r="L40" i="45"/>
  <c r="N40" i="45" s="1"/>
  <c r="B40" i="45"/>
  <c r="Z39" i="45"/>
  <c r="X39" i="45"/>
  <c r="N39" i="45"/>
  <c r="L39" i="45"/>
  <c r="B39" i="45"/>
  <c r="Z38" i="45"/>
  <c r="X38" i="45"/>
  <c r="N38" i="45"/>
  <c r="L38" i="45"/>
  <c r="B38" i="45"/>
  <c r="X37" i="45"/>
  <c r="Z37" i="45" s="1"/>
  <c r="L37" i="45"/>
  <c r="N37" i="45" s="1"/>
  <c r="B37" i="45"/>
  <c r="X36" i="45"/>
  <c r="Z36" i="45" s="1"/>
  <c r="N36" i="45"/>
  <c r="L36" i="45"/>
  <c r="B36" i="45"/>
  <c r="Z35" i="45"/>
  <c r="X35" i="45"/>
  <c r="N35" i="45"/>
  <c r="L35" i="45"/>
  <c r="B35" i="45"/>
  <c r="T34" i="45"/>
  <c r="Z34" i="45" s="1"/>
  <c r="P34" i="45"/>
  <c r="X34" i="45" s="1"/>
  <c r="H34" i="45"/>
  <c r="D34" i="45"/>
  <c r="L34" i="45" s="1"/>
  <c r="N34" i="45" s="1"/>
  <c r="B34" i="45"/>
  <c r="X33" i="45"/>
  <c r="Z33" i="45" s="1"/>
  <c r="L33" i="45"/>
  <c r="N33" i="45" s="1"/>
  <c r="B33" i="45"/>
  <c r="X32" i="45"/>
  <c r="Z32" i="45" s="1"/>
  <c r="N32" i="45"/>
  <c r="L32" i="45"/>
  <c r="B32" i="45"/>
  <c r="Z31" i="45"/>
  <c r="X31" i="45"/>
  <c r="N31" i="45"/>
  <c r="L31" i="45"/>
  <c r="B31" i="45"/>
  <c r="Z30" i="45"/>
  <c r="X30" i="45"/>
  <c r="V30" i="45"/>
  <c r="N30" i="45"/>
  <c r="L30" i="45"/>
  <c r="B30" i="45"/>
  <c r="X29" i="45"/>
  <c r="Z29" i="45" s="1"/>
  <c r="L29" i="45"/>
  <c r="N29" i="45" s="1"/>
  <c r="B29" i="45"/>
  <c r="Z28" i="45"/>
  <c r="X28" i="45"/>
  <c r="L28" i="45"/>
  <c r="N28" i="45" s="1"/>
  <c r="B28" i="45"/>
  <c r="Z27" i="45"/>
  <c r="X27" i="45"/>
  <c r="N27" i="45"/>
  <c r="L27" i="45"/>
  <c r="B27" i="45"/>
  <c r="Z26" i="45"/>
  <c r="X26" i="45"/>
  <c r="N26" i="45"/>
  <c r="L26" i="45"/>
  <c r="B26" i="45"/>
  <c r="X25" i="45"/>
  <c r="Z25" i="45" s="1"/>
  <c r="L25" i="45"/>
  <c r="N25" i="45" s="1"/>
  <c r="B25" i="45"/>
  <c r="T24" i="45"/>
  <c r="P24" i="45"/>
  <c r="X24" i="45" s="1"/>
  <c r="Z24" i="45" s="1"/>
  <c r="H24" i="45"/>
  <c r="D24" i="45"/>
  <c r="B24" i="45"/>
  <c r="T23" i="45" a="1"/>
  <c r="T23" i="45"/>
  <c r="P23" i="45" a="1"/>
  <c r="P23" i="45"/>
  <c r="X23" i="45" s="1"/>
  <c r="Z23" i="45" s="1"/>
  <c r="H23" i="45" a="1"/>
  <c r="H23" i="45"/>
  <c r="D23" i="45" a="1"/>
  <c r="D23" i="45"/>
  <c r="L23" i="45" s="1"/>
  <c r="N23" i="45" s="1"/>
  <c r="Z19" i="45"/>
  <c r="X19" i="45"/>
  <c r="N19" i="45"/>
  <c r="L19" i="45"/>
  <c r="B19" i="45"/>
  <c r="X18" i="45"/>
  <c r="Z18" i="45" s="1"/>
  <c r="V18" i="45"/>
  <c r="N18" i="45"/>
  <c r="L18" i="45"/>
  <c r="B18" i="45"/>
  <c r="X17" i="45"/>
  <c r="Z17" i="45" s="1"/>
  <c r="T17" i="45"/>
  <c r="P17" i="45"/>
  <c r="H17" i="45"/>
  <c r="D17" i="45"/>
  <c r="T15" i="45"/>
  <c r="X15" i="45" s="1"/>
  <c r="P15" i="45"/>
  <c r="L15" i="45"/>
  <c r="H15" i="45"/>
  <c r="H12" i="45" s="1"/>
  <c r="D15" i="45"/>
  <c r="B15" i="45"/>
  <c r="Z14" i="45"/>
  <c r="X14" i="45"/>
  <c r="T14" i="45"/>
  <c r="P14" i="45"/>
  <c r="N14" i="45"/>
  <c r="L14" i="45"/>
  <c r="H14" i="45"/>
  <c r="D14" i="45"/>
  <c r="B14" i="45"/>
  <c r="T13" i="45"/>
  <c r="P13" i="45"/>
  <c r="H13" i="45"/>
  <c r="D13" i="45"/>
  <c r="D12" i="45" s="1"/>
  <c r="B13" i="45"/>
  <c r="T12" i="45"/>
  <c r="V86" i="45" s="1"/>
  <c r="D4" i="45"/>
  <c r="B39" i="44"/>
  <c r="B38" i="44"/>
  <c r="T34" i="44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P12" i="44"/>
  <c r="R18" i="44" s="1"/>
  <c r="H12" i="44"/>
  <c r="J15" i="44" s="1"/>
  <c r="D12" i="44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P20" i="43"/>
  <c r="H20" i="43"/>
  <c r="N20" i="43" s="1"/>
  <c r="D20" i="43"/>
  <c r="T16" i="43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36" i="43" s="1"/>
  <c r="P12" i="43"/>
  <c r="R36" i="43" s="1"/>
  <c r="H12" i="43"/>
  <c r="J21" i="43" s="1"/>
  <c r="D12" i="43"/>
  <c r="F21" i="43" s="1"/>
  <c r="D5" i="43"/>
  <c r="D4" i="43"/>
  <c r="Z105" i="42"/>
  <c r="X105" i="42"/>
  <c r="N105" i="42"/>
  <c r="L105" i="42"/>
  <c r="T101" i="42"/>
  <c r="P101" i="42"/>
  <c r="H101" i="42"/>
  <c r="D101" i="42"/>
  <c r="L101" i="42" s="1"/>
  <c r="B101" i="42"/>
  <c r="T100" i="42"/>
  <c r="T98" i="42" s="1"/>
  <c r="P100" i="42"/>
  <c r="X100" i="42" s="1"/>
  <c r="N100" i="42"/>
  <c r="L100" i="42"/>
  <c r="H100" i="42"/>
  <c r="D100" i="42"/>
  <c r="B100" i="42"/>
  <c r="X99" i="42"/>
  <c r="Z99" i="42" s="1"/>
  <c r="T99" i="42"/>
  <c r="P99" i="42"/>
  <c r="H99" i="42"/>
  <c r="D99" i="42"/>
  <c r="B99" i="42"/>
  <c r="P98" i="42"/>
  <c r="Z96" i="42"/>
  <c r="X96" i="42"/>
  <c r="N96" i="42"/>
  <c r="L96" i="42"/>
  <c r="B96" i="42"/>
  <c r="T95" i="42"/>
  <c r="P95" i="42"/>
  <c r="X95" i="42" s="1"/>
  <c r="Z95" i="42" s="1"/>
  <c r="L95" i="42"/>
  <c r="N95" i="42" s="1"/>
  <c r="H95" i="42"/>
  <c r="D95" i="42"/>
  <c r="B95" i="42"/>
  <c r="X94" i="42"/>
  <c r="Z94" i="42" s="1"/>
  <c r="N94" i="42"/>
  <c r="L94" i="42"/>
  <c r="B94" i="42"/>
  <c r="Z93" i="42"/>
  <c r="X93" i="42"/>
  <c r="N93" i="42"/>
  <c r="L93" i="42"/>
  <c r="B93" i="42"/>
  <c r="Z92" i="42"/>
  <c r="X92" i="42"/>
  <c r="T92" i="42"/>
  <c r="P92" i="42"/>
  <c r="J92" i="42"/>
  <c r="H92" i="42"/>
  <c r="N92" i="42" s="1"/>
  <c r="D92" i="42"/>
  <c r="B92" i="42"/>
  <c r="Z91" i="42"/>
  <c r="X91" i="42"/>
  <c r="N91" i="42"/>
  <c r="L91" i="42"/>
  <c r="B91" i="42"/>
  <c r="T90" i="42"/>
  <c r="P90" i="42"/>
  <c r="N90" i="42"/>
  <c r="H90" i="42"/>
  <c r="F90" i="42"/>
  <c r="D90" i="42"/>
  <c r="L90" i="42" s="1"/>
  <c r="B90" i="42"/>
  <c r="X89" i="42"/>
  <c r="Z89" i="42" s="1"/>
  <c r="L89" i="42"/>
  <c r="N89" i="42" s="1"/>
  <c r="B89" i="42"/>
  <c r="T88" i="42"/>
  <c r="P88" i="42"/>
  <c r="X88" i="42" s="1"/>
  <c r="Z88" i="42" s="1"/>
  <c r="H88" i="42"/>
  <c r="N88" i="42" s="1"/>
  <c r="D88" i="42"/>
  <c r="L88" i="42" s="1"/>
  <c r="B88" i="42"/>
  <c r="Z87" i="42"/>
  <c r="X87" i="42"/>
  <c r="N87" i="42"/>
  <c r="L87" i="42"/>
  <c r="F87" i="42"/>
  <c r="B87" i="42"/>
  <c r="Z86" i="42"/>
  <c r="X86" i="42"/>
  <c r="N86" i="42"/>
  <c r="L86" i="42"/>
  <c r="B86" i="42"/>
  <c r="Z85" i="42"/>
  <c r="X85" i="42"/>
  <c r="N85" i="42"/>
  <c r="L85" i="42"/>
  <c r="B85" i="42"/>
  <c r="Z84" i="42"/>
  <c r="X84" i="42"/>
  <c r="N84" i="42"/>
  <c r="L84" i="42"/>
  <c r="B84" i="42"/>
  <c r="Z83" i="42"/>
  <c r="X83" i="42"/>
  <c r="N83" i="42"/>
  <c r="L83" i="42"/>
  <c r="B83" i="42"/>
  <c r="X82" i="42"/>
  <c r="Z82" i="42" s="1"/>
  <c r="N82" i="42"/>
  <c r="L82" i="42"/>
  <c r="B82" i="42"/>
  <c r="X81" i="42"/>
  <c r="Z81" i="42" s="1"/>
  <c r="N81" i="42"/>
  <c r="L81" i="42"/>
  <c r="B81" i="42"/>
  <c r="Z80" i="42"/>
  <c r="X80" i="42"/>
  <c r="N80" i="42"/>
  <c r="L80" i="42"/>
  <c r="B80" i="42"/>
  <c r="Z79" i="42"/>
  <c r="X79" i="42"/>
  <c r="N79" i="42"/>
  <c r="L79" i="42"/>
  <c r="B79" i="42"/>
  <c r="T78" i="42"/>
  <c r="Z78" i="42" s="1"/>
  <c r="P78" i="42"/>
  <c r="X78" i="42" s="1"/>
  <c r="N78" i="42"/>
  <c r="L78" i="42"/>
  <c r="H78" i="42"/>
  <c r="D78" i="42"/>
  <c r="B78" i="42"/>
  <c r="X77" i="42"/>
  <c r="Z77" i="42" s="1"/>
  <c r="L77" i="42"/>
  <c r="N77" i="42" s="1"/>
  <c r="B77" i="42"/>
  <c r="Z76" i="42"/>
  <c r="X76" i="42"/>
  <c r="T76" i="42"/>
  <c r="P76" i="42"/>
  <c r="H76" i="42"/>
  <c r="D76" i="42"/>
  <c r="B76" i="42"/>
  <c r="Z75" i="42"/>
  <c r="X75" i="42"/>
  <c r="N75" i="42"/>
  <c r="L75" i="42"/>
  <c r="B75" i="42"/>
  <c r="X74" i="42"/>
  <c r="Z74" i="42" s="1"/>
  <c r="N74" i="42"/>
  <c r="L74" i="42"/>
  <c r="B74" i="42"/>
  <c r="X73" i="42"/>
  <c r="Z73" i="42" s="1"/>
  <c r="L73" i="42"/>
  <c r="N73" i="42" s="1"/>
  <c r="B73" i="42"/>
  <c r="Z72" i="42"/>
  <c r="X72" i="42"/>
  <c r="N72" i="42"/>
  <c r="L72" i="42"/>
  <c r="B72" i="42"/>
  <c r="T71" i="42"/>
  <c r="P71" i="42"/>
  <c r="X71" i="42" s="1"/>
  <c r="Z71" i="42" s="1"/>
  <c r="L71" i="42"/>
  <c r="N71" i="42" s="1"/>
  <c r="H71" i="42"/>
  <c r="D71" i="42"/>
  <c r="B71" i="42"/>
  <c r="Z70" i="42"/>
  <c r="X70" i="42"/>
  <c r="V70" i="42"/>
  <c r="N70" i="42"/>
  <c r="L70" i="42"/>
  <c r="B70" i="42"/>
  <c r="Z69" i="42"/>
  <c r="X69" i="42"/>
  <c r="T69" i="42"/>
  <c r="P69" i="42"/>
  <c r="H69" i="42"/>
  <c r="D69" i="42"/>
  <c r="B69" i="42"/>
  <c r="Z68" i="42"/>
  <c r="X68" i="42"/>
  <c r="N68" i="42"/>
  <c r="L68" i="42"/>
  <c r="B68" i="42"/>
  <c r="Z67" i="42"/>
  <c r="X67" i="42"/>
  <c r="N67" i="42"/>
  <c r="L67" i="42"/>
  <c r="B67" i="42"/>
  <c r="X66" i="42"/>
  <c r="Z66" i="42" s="1"/>
  <c r="L66" i="42"/>
  <c r="N66" i="42" s="1"/>
  <c r="B66" i="42"/>
  <c r="X65" i="42"/>
  <c r="Z65" i="42" s="1"/>
  <c r="T65" i="42"/>
  <c r="P65" i="42"/>
  <c r="H65" i="42"/>
  <c r="D65" i="42"/>
  <c r="B65" i="42"/>
  <c r="Z64" i="42"/>
  <c r="X64" i="42"/>
  <c r="N64" i="42"/>
  <c r="L64" i="42"/>
  <c r="B64" i="42"/>
  <c r="T63" i="42"/>
  <c r="P63" i="42"/>
  <c r="H63" i="42"/>
  <c r="N63" i="42" s="1"/>
  <c r="D63" i="42"/>
  <c r="L63" i="42" s="1"/>
  <c r="B63" i="42"/>
  <c r="X62" i="42"/>
  <c r="Z62" i="42" s="1"/>
  <c r="L62" i="42"/>
  <c r="N62" i="42" s="1"/>
  <c r="B62" i="42"/>
  <c r="T61" i="42"/>
  <c r="P61" i="42"/>
  <c r="X61" i="42" s="1"/>
  <c r="H61" i="42"/>
  <c r="D61" i="42"/>
  <c r="L61" i="42" s="1"/>
  <c r="N61" i="42" s="1"/>
  <c r="B61" i="42"/>
  <c r="Z60" i="42"/>
  <c r="X60" i="42"/>
  <c r="N60" i="42"/>
  <c r="L60" i="42"/>
  <c r="B60" i="42"/>
  <c r="T59" i="42"/>
  <c r="P59" i="42"/>
  <c r="X59" i="42" s="1"/>
  <c r="Z59" i="42" s="1"/>
  <c r="L59" i="42"/>
  <c r="N59" i="42" s="1"/>
  <c r="H59" i="42"/>
  <c r="D59" i="42"/>
  <c r="B59" i="42"/>
  <c r="X58" i="42"/>
  <c r="Z58" i="42" s="1"/>
  <c r="L58" i="42"/>
  <c r="N58" i="42" s="1"/>
  <c r="B58" i="42"/>
  <c r="X57" i="42"/>
  <c r="Z57" i="42" s="1"/>
  <c r="T57" i="42"/>
  <c r="P57" i="42"/>
  <c r="H57" i="42"/>
  <c r="D57" i="42"/>
  <c r="B57" i="42"/>
  <c r="Z56" i="42"/>
  <c r="X56" i="42"/>
  <c r="N56" i="42"/>
  <c r="L56" i="42"/>
  <c r="B56" i="42"/>
  <c r="T55" i="42"/>
  <c r="P55" i="42"/>
  <c r="H55" i="42"/>
  <c r="N55" i="42" s="1"/>
  <c r="D55" i="42"/>
  <c r="L55" i="42" s="1"/>
  <c r="B55" i="42"/>
  <c r="X54" i="42"/>
  <c r="Z54" i="42" s="1"/>
  <c r="L54" i="42"/>
  <c r="N54" i="42" s="1"/>
  <c r="F54" i="42"/>
  <c r="B54" i="42"/>
  <c r="T53" i="42"/>
  <c r="Z53" i="42" s="1"/>
  <c r="P53" i="42"/>
  <c r="X53" i="42" s="1"/>
  <c r="H53" i="42"/>
  <c r="D53" i="42"/>
  <c r="B53" i="42"/>
  <c r="X52" i="42"/>
  <c r="Z52" i="42" s="1"/>
  <c r="N52" i="42"/>
  <c r="L52" i="42"/>
  <c r="B52" i="42"/>
  <c r="Z51" i="42"/>
  <c r="T51" i="42"/>
  <c r="P51" i="42"/>
  <c r="X51" i="42" s="1"/>
  <c r="N51" i="42"/>
  <c r="L51" i="42"/>
  <c r="H51" i="42"/>
  <c r="D51" i="42"/>
  <c r="B51" i="42"/>
  <c r="X50" i="42"/>
  <c r="Z50" i="42" s="1"/>
  <c r="N50" i="42"/>
  <c r="L50" i="42"/>
  <c r="B50" i="42"/>
  <c r="X49" i="42"/>
  <c r="Z49" i="42" s="1"/>
  <c r="L49" i="42"/>
  <c r="N49" i="42" s="1"/>
  <c r="B49" i="42"/>
  <c r="Z48" i="42"/>
  <c r="X48" i="42"/>
  <c r="T48" i="42"/>
  <c r="P48" i="42"/>
  <c r="H48" i="42"/>
  <c r="D48" i="42"/>
  <c r="B48" i="42"/>
  <c r="Z47" i="42"/>
  <c r="X47" i="42"/>
  <c r="N47" i="42"/>
  <c r="L47" i="42"/>
  <c r="B47" i="42"/>
  <c r="V46" i="42"/>
  <c r="T46" i="42"/>
  <c r="P46" i="42"/>
  <c r="N46" i="42"/>
  <c r="H46" i="42"/>
  <c r="D46" i="42"/>
  <c r="L46" i="42" s="1"/>
  <c r="B46" i="42"/>
  <c r="X45" i="42"/>
  <c r="Z45" i="42" s="1"/>
  <c r="N45" i="42"/>
  <c r="L45" i="42"/>
  <c r="B45" i="42"/>
  <c r="T44" i="42"/>
  <c r="P44" i="42"/>
  <c r="X44" i="42" s="1"/>
  <c r="Z44" i="42" s="1"/>
  <c r="H44" i="42"/>
  <c r="N44" i="42" s="1"/>
  <c r="D44" i="42"/>
  <c r="L44" i="42" s="1"/>
  <c r="B44" i="42"/>
  <c r="Z43" i="42"/>
  <c r="X43" i="42"/>
  <c r="N43" i="42"/>
  <c r="L43" i="42"/>
  <c r="B43" i="42"/>
  <c r="T42" i="42"/>
  <c r="P42" i="42"/>
  <c r="X42" i="42" s="1"/>
  <c r="N42" i="42"/>
  <c r="L42" i="42"/>
  <c r="H42" i="42"/>
  <c r="D42" i="42"/>
  <c r="B42" i="42"/>
  <c r="Z41" i="42"/>
  <c r="X41" i="42"/>
  <c r="V41" i="42"/>
  <c r="N41" i="42"/>
  <c r="L41" i="42"/>
  <c r="B41" i="42"/>
  <c r="Z40" i="42"/>
  <c r="X40" i="42"/>
  <c r="L40" i="42"/>
  <c r="N40" i="42" s="1"/>
  <c r="B40" i="42"/>
  <c r="Z39" i="42"/>
  <c r="X39" i="42"/>
  <c r="N39" i="42"/>
  <c r="L39" i="42"/>
  <c r="B39" i="42"/>
  <c r="X38" i="42"/>
  <c r="Z38" i="42" s="1"/>
  <c r="L38" i="42"/>
  <c r="N38" i="42" s="1"/>
  <c r="B38" i="42"/>
  <c r="X37" i="42"/>
  <c r="Z37" i="42" s="1"/>
  <c r="L37" i="42"/>
  <c r="N37" i="42" s="1"/>
  <c r="B37" i="42"/>
  <c r="Z36" i="42"/>
  <c r="X36" i="42"/>
  <c r="L36" i="42"/>
  <c r="N36" i="42" s="1"/>
  <c r="B36" i="42"/>
  <c r="Z35" i="42"/>
  <c r="T35" i="42"/>
  <c r="P35" i="42"/>
  <c r="X35" i="42" s="1"/>
  <c r="H35" i="42"/>
  <c r="D35" i="42"/>
  <c r="L35" i="42" s="1"/>
  <c r="B35" i="42"/>
  <c r="Z34" i="42"/>
  <c r="X34" i="42"/>
  <c r="L34" i="42"/>
  <c r="N34" i="42" s="1"/>
  <c r="J34" i="42"/>
  <c r="F34" i="42"/>
  <c r="B34" i="42"/>
  <c r="X33" i="42"/>
  <c r="Z33" i="42" s="1"/>
  <c r="L33" i="42"/>
  <c r="N33" i="42" s="1"/>
  <c r="B33" i="42"/>
  <c r="X32" i="42"/>
  <c r="Z32" i="42" s="1"/>
  <c r="N32" i="42"/>
  <c r="L32" i="42"/>
  <c r="B32" i="42"/>
  <c r="Z31" i="42"/>
  <c r="X31" i="42"/>
  <c r="N31" i="42"/>
  <c r="L31" i="42"/>
  <c r="B31" i="42"/>
  <c r="X30" i="42"/>
  <c r="Z30" i="42" s="1"/>
  <c r="N30" i="42"/>
  <c r="L30" i="42"/>
  <c r="J30" i="42"/>
  <c r="B30" i="42"/>
  <c r="X29" i="42"/>
  <c r="Z29" i="42" s="1"/>
  <c r="L29" i="42"/>
  <c r="N29" i="42" s="1"/>
  <c r="B29" i="42"/>
  <c r="Z28" i="42"/>
  <c r="X28" i="42"/>
  <c r="L28" i="42"/>
  <c r="N28" i="42" s="1"/>
  <c r="B28" i="42"/>
  <c r="Z27" i="42"/>
  <c r="X27" i="42"/>
  <c r="N27" i="42"/>
  <c r="L27" i="42"/>
  <c r="B27" i="42"/>
  <c r="T26" i="42"/>
  <c r="P26" i="42"/>
  <c r="X26" i="42" s="1"/>
  <c r="N26" i="42"/>
  <c r="L26" i="42"/>
  <c r="H26" i="42"/>
  <c r="D26" i="42"/>
  <c r="B26" i="42"/>
  <c r="T25" i="42" a="1"/>
  <c r="T25" i="42" s="1"/>
  <c r="P25" i="42" a="1"/>
  <c r="P25" i="42" s="1"/>
  <c r="X25" i="42" s="1"/>
  <c r="H25" i="42" a="1"/>
  <c r="H25" i="42" s="1"/>
  <c r="D25" i="42" a="1"/>
  <c r="D25" i="42" s="1"/>
  <c r="L25" i="42" s="1"/>
  <c r="H23" i="42"/>
  <c r="X21" i="42"/>
  <c r="Z21" i="42" s="1"/>
  <c r="L21" i="42"/>
  <c r="N21" i="42" s="1"/>
  <c r="B21" i="42"/>
  <c r="X20" i="42"/>
  <c r="Z20" i="42" s="1"/>
  <c r="N20" i="42"/>
  <c r="L20" i="42"/>
  <c r="B20" i="42"/>
  <c r="T19" i="42"/>
  <c r="P19" i="42"/>
  <c r="X19" i="42" s="1"/>
  <c r="Z19" i="42" s="1"/>
  <c r="L19" i="42"/>
  <c r="N19" i="42" s="1"/>
  <c r="H19" i="42"/>
  <c r="D19" i="42"/>
  <c r="X17" i="42"/>
  <c r="Z17" i="42" s="1"/>
  <c r="T17" i="42"/>
  <c r="P17" i="42"/>
  <c r="H17" i="42"/>
  <c r="N17" i="42" s="1"/>
  <c r="D17" i="42"/>
  <c r="L17" i="42" s="1"/>
  <c r="B17" i="42"/>
  <c r="T16" i="42"/>
  <c r="P16" i="42"/>
  <c r="X16" i="42" s="1"/>
  <c r="L16" i="42"/>
  <c r="H16" i="42"/>
  <c r="N16" i="42" s="1"/>
  <c r="D16" i="42"/>
  <c r="B16" i="42"/>
  <c r="T15" i="42"/>
  <c r="Z15" i="42" s="1"/>
  <c r="P15" i="42"/>
  <c r="N15" i="42"/>
  <c r="L15" i="42"/>
  <c r="H15" i="42"/>
  <c r="D15" i="42"/>
  <c r="B15" i="42"/>
  <c r="T14" i="42"/>
  <c r="P14" i="42"/>
  <c r="X14" i="42" s="1"/>
  <c r="Z14" i="42" s="1"/>
  <c r="H14" i="42"/>
  <c r="D14" i="42"/>
  <c r="L14" i="42" s="1"/>
  <c r="N14" i="42" s="1"/>
  <c r="B14" i="42"/>
  <c r="T13" i="42"/>
  <c r="P13" i="42"/>
  <c r="N13" i="42"/>
  <c r="H13" i="42"/>
  <c r="D13" i="42"/>
  <c r="L13" i="42" s="1"/>
  <c r="B13" i="42"/>
  <c r="T12" i="42"/>
  <c r="V82" i="42" s="1"/>
  <c r="H12" i="42"/>
  <c r="J62" i="42" s="1"/>
  <c r="D12" i="42"/>
  <c r="F46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4" i="41" s="1"/>
  <c r="P12" i="41"/>
  <c r="R16" i="41" s="1"/>
  <c r="H12" i="41"/>
  <c r="J29" i="41" s="1"/>
  <c r="D12" i="41"/>
  <c r="F22" i="41" s="1"/>
  <c r="D5" i="41"/>
  <c r="D4" i="41"/>
  <c r="B39" i="40"/>
  <c r="B38" i="40"/>
  <c r="T34" i="40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4" i="40" s="1"/>
  <c r="P12" i="40"/>
  <c r="R21" i="40" s="1"/>
  <c r="H12" i="40"/>
  <c r="J21" i="40" s="1"/>
  <c r="D12" i="40"/>
  <c r="D5" i="40"/>
  <c r="D4" i="40"/>
  <c r="Z117" i="39"/>
  <c r="X117" i="39"/>
  <c r="N117" i="39"/>
  <c r="L117" i="39"/>
  <c r="T113" i="39"/>
  <c r="P113" i="39"/>
  <c r="H113" i="39"/>
  <c r="D113" i="39"/>
  <c r="L113" i="39" s="1"/>
  <c r="B113" i="39"/>
  <c r="T112" i="39"/>
  <c r="P112" i="39"/>
  <c r="X112" i="39" s="1"/>
  <c r="Z112" i="39" s="1"/>
  <c r="L112" i="39"/>
  <c r="N112" i="39" s="1"/>
  <c r="H112" i="39"/>
  <c r="D112" i="39"/>
  <c r="B112" i="39"/>
  <c r="X111" i="39"/>
  <c r="T111" i="39"/>
  <c r="P111" i="39"/>
  <c r="H111" i="39"/>
  <c r="D111" i="39"/>
  <c r="B111" i="39"/>
  <c r="P110" i="39"/>
  <c r="X108" i="39"/>
  <c r="Z108" i="39" s="1"/>
  <c r="L108" i="39"/>
  <c r="N108" i="39" s="1"/>
  <c r="B108" i="39"/>
  <c r="Z107" i="39"/>
  <c r="X107" i="39"/>
  <c r="T107" i="39"/>
  <c r="P107" i="39"/>
  <c r="L107" i="39"/>
  <c r="H107" i="39"/>
  <c r="N107" i="39" s="1"/>
  <c r="D107" i="39"/>
  <c r="B107" i="39"/>
  <c r="X106" i="39"/>
  <c r="Z106" i="39" s="1"/>
  <c r="N106" i="39"/>
  <c r="L106" i="39"/>
  <c r="B106" i="39"/>
  <c r="Z105" i="39"/>
  <c r="X105" i="39"/>
  <c r="N105" i="39"/>
  <c r="L105" i="39"/>
  <c r="B105" i="39"/>
  <c r="X104" i="39"/>
  <c r="Z104" i="39" s="1"/>
  <c r="T104" i="39"/>
  <c r="P104" i="39"/>
  <c r="H104" i="39"/>
  <c r="D104" i="39"/>
  <c r="B104" i="39"/>
  <c r="Z103" i="39"/>
  <c r="X103" i="39"/>
  <c r="N103" i="39"/>
  <c r="L103" i="39"/>
  <c r="B103" i="39"/>
  <c r="T102" i="39"/>
  <c r="P102" i="39"/>
  <c r="N102" i="39"/>
  <c r="H102" i="39"/>
  <c r="D102" i="39"/>
  <c r="L102" i="39" s="1"/>
  <c r="B102" i="39"/>
  <c r="X101" i="39"/>
  <c r="Z101" i="39" s="1"/>
  <c r="L101" i="39"/>
  <c r="N101" i="39" s="1"/>
  <c r="B101" i="39"/>
  <c r="T100" i="39"/>
  <c r="P100" i="39"/>
  <c r="X100" i="39" s="1"/>
  <c r="Z100" i="39" s="1"/>
  <c r="H100" i="39"/>
  <c r="D100" i="39"/>
  <c r="L100" i="39" s="1"/>
  <c r="N100" i="39" s="1"/>
  <c r="B100" i="39"/>
  <c r="Z99" i="39"/>
  <c r="X99" i="39"/>
  <c r="N99" i="39"/>
  <c r="L99" i="39"/>
  <c r="B99" i="39"/>
  <c r="Z98" i="39"/>
  <c r="X98" i="39"/>
  <c r="N98" i="39"/>
  <c r="L98" i="39"/>
  <c r="B98" i="39"/>
  <c r="Z97" i="39"/>
  <c r="X97" i="39"/>
  <c r="N97" i="39"/>
  <c r="L97" i="39"/>
  <c r="B97" i="39"/>
  <c r="X96" i="39"/>
  <c r="Z96" i="39" s="1"/>
  <c r="N96" i="39"/>
  <c r="L96" i="39"/>
  <c r="B96" i="39"/>
  <c r="Z95" i="39"/>
  <c r="X95" i="39"/>
  <c r="N95" i="39"/>
  <c r="L95" i="39"/>
  <c r="B95" i="39"/>
  <c r="X94" i="39"/>
  <c r="Z94" i="39" s="1"/>
  <c r="N94" i="39"/>
  <c r="L94" i="39"/>
  <c r="B94" i="39"/>
  <c r="X93" i="39"/>
  <c r="Z93" i="39" s="1"/>
  <c r="N93" i="39"/>
  <c r="L93" i="39"/>
  <c r="B93" i="39"/>
  <c r="X92" i="39"/>
  <c r="Z92" i="39" s="1"/>
  <c r="N92" i="39"/>
  <c r="L92" i="39"/>
  <c r="B92" i="39"/>
  <c r="Z91" i="39"/>
  <c r="X91" i="39"/>
  <c r="N91" i="39"/>
  <c r="L91" i="39"/>
  <c r="B91" i="39"/>
  <c r="T90" i="39"/>
  <c r="P90" i="39"/>
  <c r="X90" i="39" s="1"/>
  <c r="Z90" i="39" s="1"/>
  <c r="L90" i="39"/>
  <c r="N90" i="39" s="1"/>
  <c r="H90" i="39"/>
  <c r="D90" i="39"/>
  <c r="B90" i="39"/>
  <c r="X89" i="39"/>
  <c r="Z89" i="39" s="1"/>
  <c r="L89" i="39"/>
  <c r="N89" i="39" s="1"/>
  <c r="B89" i="39"/>
  <c r="Z88" i="39"/>
  <c r="X88" i="39"/>
  <c r="T88" i="39"/>
  <c r="P88" i="39"/>
  <c r="H88" i="39"/>
  <c r="D88" i="39"/>
  <c r="B88" i="39"/>
  <c r="Z87" i="39"/>
  <c r="X87" i="39"/>
  <c r="N87" i="39"/>
  <c r="L87" i="39"/>
  <c r="B87" i="39"/>
  <c r="X86" i="39"/>
  <c r="Z86" i="39" s="1"/>
  <c r="N86" i="39"/>
  <c r="L86" i="39"/>
  <c r="B86" i="39"/>
  <c r="X85" i="39"/>
  <c r="Z85" i="39" s="1"/>
  <c r="L85" i="39"/>
  <c r="N85" i="39" s="1"/>
  <c r="B85" i="39"/>
  <c r="Z84" i="39"/>
  <c r="X84" i="39"/>
  <c r="L84" i="39"/>
  <c r="N84" i="39" s="1"/>
  <c r="B84" i="39"/>
  <c r="Z83" i="39"/>
  <c r="X83" i="39"/>
  <c r="T83" i="39"/>
  <c r="P83" i="39"/>
  <c r="L83" i="39"/>
  <c r="H83" i="39"/>
  <c r="D83" i="39"/>
  <c r="B83" i="39"/>
  <c r="X82" i="39"/>
  <c r="Z82" i="39" s="1"/>
  <c r="N82" i="39"/>
  <c r="L82" i="39"/>
  <c r="B82" i="39"/>
  <c r="X81" i="39"/>
  <c r="T81" i="39"/>
  <c r="P81" i="39"/>
  <c r="H81" i="39"/>
  <c r="N81" i="39" s="1"/>
  <c r="D81" i="39"/>
  <c r="B81" i="39"/>
  <c r="X80" i="39"/>
  <c r="Z80" i="39" s="1"/>
  <c r="N80" i="39"/>
  <c r="L80" i="39"/>
  <c r="B80" i="39"/>
  <c r="Z79" i="39"/>
  <c r="X79" i="39"/>
  <c r="N79" i="39"/>
  <c r="L79" i="39"/>
  <c r="B79" i="39"/>
  <c r="X78" i="39"/>
  <c r="Z78" i="39" s="1"/>
  <c r="N78" i="39"/>
  <c r="L78" i="39"/>
  <c r="B78" i="39"/>
  <c r="X77" i="39"/>
  <c r="T77" i="39"/>
  <c r="P77" i="39"/>
  <c r="H77" i="39"/>
  <c r="D77" i="39"/>
  <c r="B77" i="39"/>
  <c r="X76" i="39"/>
  <c r="Z76" i="39" s="1"/>
  <c r="N76" i="39"/>
  <c r="L76" i="39"/>
  <c r="B76" i="39"/>
  <c r="T75" i="39"/>
  <c r="P75" i="39"/>
  <c r="H75" i="39"/>
  <c r="N75" i="39" s="1"/>
  <c r="D75" i="39"/>
  <c r="L75" i="39" s="1"/>
  <c r="B75" i="39"/>
  <c r="Z74" i="39"/>
  <c r="X74" i="39"/>
  <c r="L74" i="39"/>
  <c r="N74" i="39" s="1"/>
  <c r="B74" i="39"/>
  <c r="T73" i="39"/>
  <c r="Z73" i="39" s="1"/>
  <c r="P73" i="39"/>
  <c r="X73" i="39" s="1"/>
  <c r="N73" i="39"/>
  <c r="L73" i="39"/>
  <c r="H73" i="39"/>
  <c r="D73" i="39"/>
  <c r="B73" i="39"/>
  <c r="X72" i="39"/>
  <c r="Z72" i="39" s="1"/>
  <c r="L72" i="39"/>
  <c r="N72" i="39" s="1"/>
  <c r="B72" i="39"/>
  <c r="Z71" i="39"/>
  <c r="X71" i="39"/>
  <c r="T71" i="39"/>
  <c r="P71" i="39"/>
  <c r="L71" i="39"/>
  <c r="H71" i="39"/>
  <c r="N71" i="39" s="1"/>
  <c r="D71" i="39"/>
  <c r="B71" i="39"/>
  <c r="X70" i="39"/>
  <c r="Z70" i="39" s="1"/>
  <c r="N70" i="39"/>
  <c r="L70" i="39"/>
  <c r="B70" i="39"/>
  <c r="X69" i="39"/>
  <c r="T69" i="39"/>
  <c r="Z69" i="39" s="1"/>
  <c r="P69" i="39"/>
  <c r="H69" i="39"/>
  <c r="D69" i="39"/>
  <c r="L69" i="39" s="1"/>
  <c r="B69" i="39"/>
  <c r="X68" i="39"/>
  <c r="Z68" i="39" s="1"/>
  <c r="N68" i="39"/>
  <c r="L68" i="39"/>
  <c r="B68" i="39"/>
  <c r="Z67" i="39"/>
  <c r="X67" i="39"/>
  <c r="N67" i="39"/>
  <c r="L67" i="39"/>
  <c r="B67" i="39"/>
  <c r="T66" i="39"/>
  <c r="P66" i="39"/>
  <c r="H66" i="39"/>
  <c r="D66" i="39"/>
  <c r="L66" i="39" s="1"/>
  <c r="N66" i="39" s="1"/>
  <c r="B66" i="39"/>
  <c r="X65" i="39"/>
  <c r="Z65" i="39" s="1"/>
  <c r="L65" i="39"/>
  <c r="N65" i="39" s="1"/>
  <c r="B65" i="39"/>
  <c r="T64" i="39"/>
  <c r="P64" i="39"/>
  <c r="X64" i="39" s="1"/>
  <c r="Z64" i="39" s="1"/>
  <c r="H64" i="39"/>
  <c r="D64" i="39"/>
  <c r="L64" i="39" s="1"/>
  <c r="N64" i="39" s="1"/>
  <c r="B64" i="39"/>
  <c r="Z63" i="39"/>
  <c r="X63" i="39"/>
  <c r="N63" i="39"/>
  <c r="L63" i="39"/>
  <c r="B63" i="39"/>
  <c r="T62" i="39"/>
  <c r="P62" i="39"/>
  <c r="X62" i="39" s="1"/>
  <c r="Z62" i="39" s="1"/>
  <c r="N62" i="39"/>
  <c r="L62" i="39"/>
  <c r="H62" i="39"/>
  <c r="D62" i="39"/>
  <c r="B62" i="39"/>
  <c r="X61" i="39"/>
  <c r="Z61" i="39" s="1"/>
  <c r="L61" i="39"/>
  <c r="N61" i="39" s="1"/>
  <c r="B61" i="39"/>
  <c r="X60" i="39"/>
  <c r="Z60" i="39" s="1"/>
  <c r="L60" i="39"/>
  <c r="N60" i="39" s="1"/>
  <c r="B60" i="39"/>
  <c r="Z59" i="39"/>
  <c r="X59" i="39"/>
  <c r="T59" i="39"/>
  <c r="P59" i="39"/>
  <c r="L59" i="39"/>
  <c r="H59" i="39"/>
  <c r="N59" i="39" s="1"/>
  <c r="D59" i="39"/>
  <c r="B59" i="39"/>
  <c r="X58" i="39"/>
  <c r="Z58" i="39" s="1"/>
  <c r="N58" i="39"/>
  <c r="L58" i="39"/>
  <c r="B58" i="39"/>
  <c r="X57" i="39"/>
  <c r="T57" i="39"/>
  <c r="P57" i="39"/>
  <c r="H57" i="39"/>
  <c r="D57" i="39"/>
  <c r="B57" i="39"/>
  <c r="X56" i="39"/>
  <c r="Z56" i="39" s="1"/>
  <c r="N56" i="39"/>
  <c r="L56" i="39"/>
  <c r="B56" i="39"/>
  <c r="T55" i="39"/>
  <c r="P55" i="39"/>
  <c r="H55" i="39"/>
  <c r="N55" i="39" s="1"/>
  <c r="D55" i="39"/>
  <c r="L55" i="39" s="1"/>
  <c r="B55" i="39"/>
  <c r="Z54" i="39"/>
  <c r="X54" i="39"/>
  <c r="L54" i="39"/>
  <c r="N54" i="39" s="1"/>
  <c r="B54" i="39"/>
  <c r="T53" i="39"/>
  <c r="Z53" i="39" s="1"/>
  <c r="P53" i="39"/>
  <c r="X53" i="39" s="1"/>
  <c r="N53" i="39"/>
  <c r="L53" i="39"/>
  <c r="H53" i="39"/>
  <c r="D53" i="39"/>
  <c r="B53" i="39"/>
  <c r="Z52" i="39"/>
  <c r="X52" i="39"/>
  <c r="N52" i="39"/>
  <c r="L52" i="39"/>
  <c r="B52" i="39"/>
  <c r="Z51" i="39"/>
  <c r="X51" i="39"/>
  <c r="N51" i="39"/>
  <c r="L51" i="39"/>
  <c r="B51" i="39"/>
  <c r="Z50" i="39"/>
  <c r="X50" i="39"/>
  <c r="N50" i="39"/>
  <c r="L50" i="39"/>
  <c r="B50" i="39"/>
  <c r="X49" i="39"/>
  <c r="Z49" i="39" s="1"/>
  <c r="N49" i="39"/>
  <c r="L49" i="39"/>
  <c r="B49" i="39"/>
  <c r="X48" i="39"/>
  <c r="Z48" i="39" s="1"/>
  <c r="N48" i="39"/>
  <c r="L48" i="39"/>
  <c r="B48" i="39"/>
  <c r="Z47" i="39"/>
  <c r="X47" i="39"/>
  <c r="N47" i="39"/>
  <c r="L47" i="39"/>
  <c r="B47" i="39"/>
  <c r="X46" i="39"/>
  <c r="Z46" i="39" s="1"/>
  <c r="N46" i="39"/>
  <c r="L46" i="39"/>
  <c r="B46" i="39"/>
  <c r="X45" i="39"/>
  <c r="T45" i="39"/>
  <c r="Z45" i="39" s="1"/>
  <c r="P45" i="39"/>
  <c r="H45" i="39"/>
  <c r="D45" i="39"/>
  <c r="L45" i="39" s="1"/>
  <c r="B45" i="39"/>
  <c r="X44" i="39"/>
  <c r="Z44" i="39" s="1"/>
  <c r="N44" i="39"/>
  <c r="L44" i="39"/>
  <c r="B44" i="39"/>
  <c r="Z43" i="39"/>
  <c r="X43" i="39"/>
  <c r="N43" i="39"/>
  <c r="L43" i="39"/>
  <c r="B43" i="39"/>
  <c r="X42" i="39"/>
  <c r="Z42" i="39" s="1"/>
  <c r="N42" i="39"/>
  <c r="L42" i="39"/>
  <c r="B42" i="39"/>
  <c r="Z41" i="39"/>
  <c r="X41" i="39"/>
  <c r="N41" i="39"/>
  <c r="L41" i="39"/>
  <c r="B41" i="39"/>
  <c r="Z40" i="39"/>
  <c r="X40" i="39"/>
  <c r="L40" i="39"/>
  <c r="N40" i="39" s="1"/>
  <c r="B40" i="39"/>
  <c r="Z39" i="39"/>
  <c r="X39" i="39"/>
  <c r="N39" i="39"/>
  <c r="L39" i="39"/>
  <c r="B39" i="39"/>
  <c r="Z38" i="39"/>
  <c r="X38" i="39"/>
  <c r="L38" i="39"/>
  <c r="N38" i="39" s="1"/>
  <c r="B38" i="39"/>
  <c r="X37" i="39"/>
  <c r="Z37" i="39" s="1"/>
  <c r="L37" i="39"/>
  <c r="N37" i="39" s="1"/>
  <c r="B37" i="39"/>
  <c r="X36" i="39"/>
  <c r="Z36" i="39" s="1"/>
  <c r="L36" i="39"/>
  <c r="N36" i="39" s="1"/>
  <c r="B36" i="39"/>
  <c r="T35" i="39"/>
  <c r="P35" i="39"/>
  <c r="H35" i="39"/>
  <c r="N35" i="39" s="1"/>
  <c r="D35" i="39"/>
  <c r="L35" i="39" s="1"/>
  <c r="B35" i="39"/>
  <c r="T34" i="39" a="1"/>
  <c r="T34" i="39" s="1"/>
  <c r="P34" i="39" a="1"/>
  <c r="P34" i="39" s="1"/>
  <c r="X34" i="39" s="1"/>
  <c r="H34" i="39" a="1"/>
  <c r="H34" i="39" s="1"/>
  <c r="D34" i="39" a="1"/>
  <c r="D34" i="39"/>
  <c r="L34" i="39" s="1"/>
  <c r="X30" i="39"/>
  <c r="Z30" i="39" s="1"/>
  <c r="V30" i="39"/>
  <c r="N30" i="39"/>
  <c r="L30" i="39"/>
  <c r="B30" i="39"/>
  <c r="X29" i="39"/>
  <c r="Z29" i="39" s="1"/>
  <c r="L29" i="39"/>
  <c r="N29" i="39" s="1"/>
  <c r="B29" i="39"/>
  <c r="Z28" i="39"/>
  <c r="X28" i="39"/>
  <c r="N28" i="39"/>
  <c r="L28" i="39"/>
  <c r="B28" i="39"/>
  <c r="Z27" i="39"/>
  <c r="X27" i="39"/>
  <c r="T27" i="39"/>
  <c r="P27" i="39"/>
  <c r="L27" i="39"/>
  <c r="H27" i="39"/>
  <c r="N27" i="39" s="1"/>
  <c r="D27" i="39"/>
  <c r="T25" i="39"/>
  <c r="P25" i="39"/>
  <c r="X25" i="39" s="1"/>
  <c r="Z25" i="39" s="1"/>
  <c r="N25" i="39"/>
  <c r="L25" i="39"/>
  <c r="H25" i="39"/>
  <c r="D25" i="39"/>
  <c r="B25" i="39"/>
  <c r="T24" i="39"/>
  <c r="P24" i="39"/>
  <c r="N24" i="39"/>
  <c r="H24" i="39"/>
  <c r="D24" i="39"/>
  <c r="L24" i="39" s="1"/>
  <c r="B24" i="39"/>
  <c r="T23" i="39"/>
  <c r="Z23" i="39" s="1"/>
  <c r="P23" i="39"/>
  <c r="H23" i="39"/>
  <c r="L23" i="39" s="1"/>
  <c r="D23" i="39"/>
  <c r="B23" i="39"/>
  <c r="Z22" i="39"/>
  <c r="X22" i="39"/>
  <c r="T22" i="39"/>
  <c r="P22" i="39"/>
  <c r="N22" i="39"/>
  <c r="L22" i="39"/>
  <c r="H22" i="39"/>
  <c r="D22" i="39"/>
  <c r="B22" i="39"/>
  <c r="Z21" i="39"/>
  <c r="X21" i="39"/>
  <c r="T21" i="39"/>
  <c r="P21" i="39"/>
  <c r="N21" i="39"/>
  <c r="H21" i="39"/>
  <c r="D21" i="39"/>
  <c r="L21" i="39" s="1"/>
  <c r="B21" i="39"/>
  <c r="Z20" i="39"/>
  <c r="T20" i="39"/>
  <c r="P20" i="39"/>
  <c r="X20" i="39" s="1"/>
  <c r="H20" i="39"/>
  <c r="N20" i="39" s="1"/>
  <c r="D20" i="39"/>
  <c r="B20" i="39"/>
  <c r="T19" i="39"/>
  <c r="X19" i="39" s="1"/>
  <c r="P19" i="39"/>
  <c r="H19" i="39"/>
  <c r="N19" i="39" s="1"/>
  <c r="D19" i="39"/>
  <c r="B19" i="39"/>
  <c r="Z18" i="39"/>
  <c r="X18" i="39"/>
  <c r="T18" i="39"/>
  <c r="P18" i="39"/>
  <c r="N18" i="39"/>
  <c r="L18" i="39"/>
  <c r="H18" i="39"/>
  <c r="D18" i="39"/>
  <c r="B18" i="39"/>
  <c r="T17" i="39"/>
  <c r="P17" i="39"/>
  <c r="X17" i="39" s="1"/>
  <c r="Z17" i="39" s="1"/>
  <c r="N17" i="39"/>
  <c r="L17" i="39"/>
  <c r="H17" i="39"/>
  <c r="D17" i="39"/>
  <c r="B17" i="39"/>
  <c r="T16" i="39"/>
  <c r="P16" i="39"/>
  <c r="N16" i="39"/>
  <c r="H16" i="39"/>
  <c r="D16" i="39"/>
  <c r="L16" i="39" s="1"/>
  <c r="B16" i="39"/>
  <c r="X15" i="39"/>
  <c r="T15" i="39"/>
  <c r="Z15" i="39" s="1"/>
  <c r="P15" i="39"/>
  <c r="H15" i="39"/>
  <c r="L15" i="39" s="1"/>
  <c r="D15" i="39"/>
  <c r="B15" i="39"/>
  <c r="X14" i="39"/>
  <c r="Z14" i="39" s="1"/>
  <c r="T14" i="39"/>
  <c r="T12" i="39" s="1"/>
  <c r="V81" i="39" s="1"/>
  <c r="P14" i="39"/>
  <c r="N14" i="39"/>
  <c r="L14" i="39"/>
  <c r="H14" i="39"/>
  <c r="D14" i="39"/>
  <c r="B14" i="39"/>
  <c r="Z13" i="39"/>
  <c r="X13" i="39"/>
  <c r="T13" i="39"/>
  <c r="P13" i="39"/>
  <c r="N13" i="39"/>
  <c r="H13" i="39"/>
  <c r="D13" i="39"/>
  <c r="L13" i="39" s="1"/>
  <c r="B13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D20" i="38"/>
  <c r="T16" i="38"/>
  <c r="Z16" i="38" s="1"/>
  <c r="P16" i="38"/>
  <c r="H16" i="38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21" i="38" s="1"/>
  <c r="P12" i="38"/>
  <c r="R29" i="38" s="1"/>
  <c r="H12" i="38"/>
  <c r="D12" i="38"/>
  <c r="D5" i="38"/>
  <c r="D4" i="38"/>
  <c r="B39" i="37"/>
  <c r="B38" i="37"/>
  <c r="T34" i="37"/>
  <c r="Z34" i="37" s="1"/>
  <c r="P34" i="37"/>
  <c r="H34" i="37"/>
  <c r="N34" i="37" s="1"/>
  <c r="D34" i="37"/>
  <c r="T33" i="37"/>
  <c r="P33" i="37"/>
  <c r="H33" i="37"/>
  <c r="N33" i="37" s="1"/>
  <c r="D33" i="37"/>
  <c r="T29" i="37"/>
  <c r="P29" i="37"/>
  <c r="H29" i="37"/>
  <c r="N29" i="37" s="1"/>
  <c r="D29" i="37"/>
  <c r="T25" i="37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34" i="37" s="1"/>
  <c r="P12" i="37"/>
  <c r="R34" i="37" s="1"/>
  <c r="H12" i="37"/>
  <c r="D12" i="37"/>
  <c r="F34" i="37" s="1"/>
  <c r="D5" i="37"/>
  <c r="D4" i="37"/>
  <c r="Z113" i="36"/>
  <c r="X113" i="36"/>
  <c r="N113" i="36"/>
  <c r="L113" i="36"/>
  <c r="Z109" i="36"/>
  <c r="X109" i="36"/>
  <c r="T109" i="36"/>
  <c r="P109" i="36"/>
  <c r="L109" i="36"/>
  <c r="H109" i="36"/>
  <c r="N109" i="36" s="1"/>
  <c r="D109" i="36"/>
  <c r="B109" i="36"/>
  <c r="T108" i="36"/>
  <c r="P108" i="36"/>
  <c r="H108" i="36"/>
  <c r="D108" i="36"/>
  <c r="B108" i="36"/>
  <c r="T107" i="36"/>
  <c r="P107" i="36"/>
  <c r="N107" i="36"/>
  <c r="L107" i="36"/>
  <c r="H107" i="36"/>
  <c r="D107" i="36"/>
  <c r="B107" i="36"/>
  <c r="H106" i="36"/>
  <c r="X104" i="36"/>
  <c r="Z104" i="36" s="1"/>
  <c r="L104" i="36"/>
  <c r="N104" i="36" s="1"/>
  <c r="B104" i="36"/>
  <c r="T103" i="36"/>
  <c r="P103" i="36"/>
  <c r="H103" i="36"/>
  <c r="D103" i="36"/>
  <c r="L103" i="36" s="1"/>
  <c r="N103" i="36" s="1"/>
  <c r="B103" i="36"/>
  <c r="Z102" i="36"/>
  <c r="X102" i="36"/>
  <c r="N102" i="36"/>
  <c r="L102" i="36"/>
  <c r="B102" i="36"/>
  <c r="Z101" i="36"/>
  <c r="X101" i="36"/>
  <c r="N101" i="36"/>
  <c r="L101" i="36"/>
  <c r="B101" i="36"/>
  <c r="T100" i="36"/>
  <c r="P100" i="36"/>
  <c r="X100" i="36" s="1"/>
  <c r="Z100" i="36" s="1"/>
  <c r="N100" i="36"/>
  <c r="H100" i="36"/>
  <c r="D100" i="36"/>
  <c r="L100" i="36" s="1"/>
  <c r="B100" i="36"/>
  <c r="Z99" i="36"/>
  <c r="X99" i="36"/>
  <c r="N99" i="36"/>
  <c r="L99" i="36"/>
  <c r="B99" i="36"/>
  <c r="T98" i="36"/>
  <c r="P98" i="36"/>
  <c r="X98" i="36" s="1"/>
  <c r="Z98" i="36" s="1"/>
  <c r="N98" i="36"/>
  <c r="L98" i="36"/>
  <c r="H98" i="36"/>
  <c r="D98" i="36"/>
  <c r="B98" i="36"/>
  <c r="X97" i="36"/>
  <c r="Z97" i="36" s="1"/>
  <c r="L97" i="36"/>
  <c r="N97" i="36" s="1"/>
  <c r="B97" i="36"/>
  <c r="Z96" i="36"/>
  <c r="X96" i="36"/>
  <c r="T96" i="36"/>
  <c r="P96" i="36"/>
  <c r="H96" i="36"/>
  <c r="D96" i="36"/>
  <c r="B96" i="36"/>
  <c r="Z95" i="36"/>
  <c r="X95" i="36"/>
  <c r="N95" i="36"/>
  <c r="L95" i="36"/>
  <c r="B95" i="36"/>
  <c r="Z94" i="36"/>
  <c r="X94" i="36"/>
  <c r="N94" i="36"/>
  <c r="L94" i="36"/>
  <c r="B94" i="36"/>
  <c r="Z93" i="36"/>
  <c r="X93" i="36"/>
  <c r="N93" i="36"/>
  <c r="L93" i="36"/>
  <c r="B93" i="36"/>
  <c r="X92" i="36"/>
  <c r="Z92" i="36" s="1"/>
  <c r="L92" i="36"/>
  <c r="N92" i="36" s="1"/>
  <c r="B92" i="36"/>
  <c r="Z91" i="36"/>
  <c r="X91" i="36"/>
  <c r="N91" i="36"/>
  <c r="L91" i="36"/>
  <c r="B91" i="36"/>
  <c r="Z90" i="36"/>
  <c r="X90" i="36"/>
  <c r="L90" i="36"/>
  <c r="N90" i="36" s="1"/>
  <c r="B90" i="36"/>
  <c r="X89" i="36"/>
  <c r="Z89" i="36" s="1"/>
  <c r="L89" i="36"/>
  <c r="N89" i="36" s="1"/>
  <c r="B89" i="36"/>
  <c r="X88" i="36"/>
  <c r="Z88" i="36" s="1"/>
  <c r="N88" i="36"/>
  <c r="L88" i="36"/>
  <c r="B88" i="36"/>
  <c r="Z87" i="36"/>
  <c r="X87" i="36"/>
  <c r="N87" i="36"/>
  <c r="L87" i="36"/>
  <c r="B87" i="36"/>
  <c r="T86" i="36"/>
  <c r="P86" i="36"/>
  <c r="H86" i="36"/>
  <c r="D86" i="36"/>
  <c r="L86" i="36" s="1"/>
  <c r="N86" i="36" s="1"/>
  <c r="B86" i="36"/>
  <c r="X85" i="36"/>
  <c r="Z85" i="36" s="1"/>
  <c r="L85" i="36"/>
  <c r="N85" i="36" s="1"/>
  <c r="B85" i="36"/>
  <c r="X84" i="36"/>
  <c r="Z84" i="36" s="1"/>
  <c r="N84" i="36"/>
  <c r="L84" i="36"/>
  <c r="B84" i="36"/>
  <c r="T83" i="36"/>
  <c r="P83" i="36"/>
  <c r="H83" i="36"/>
  <c r="D83" i="36"/>
  <c r="L83" i="36" s="1"/>
  <c r="N83" i="36" s="1"/>
  <c r="B83" i="36"/>
  <c r="Z82" i="36"/>
  <c r="X82" i="36"/>
  <c r="L82" i="36"/>
  <c r="N82" i="36" s="1"/>
  <c r="B82" i="36"/>
  <c r="X81" i="36"/>
  <c r="Z81" i="36" s="1"/>
  <c r="L81" i="36"/>
  <c r="N81" i="36" s="1"/>
  <c r="B81" i="36"/>
  <c r="X80" i="36"/>
  <c r="Z80" i="36" s="1"/>
  <c r="N80" i="36"/>
  <c r="L80" i="36"/>
  <c r="B80" i="36"/>
  <c r="Z79" i="36"/>
  <c r="X79" i="36"/>
  <c r="N79" i="36"/>
  <c r="L79" i="36"/>
  <c r="B79" i="36"/>
  <c r="T78" i="36"/>
  <c r="P78" i="36"/>
  <c r="H78" i="36"/>
  <c r="D78" i="36"/>
  <c r="L78" i="36" s="1"/>
  <c r="N78" i="36" s="1"/>
  <c r="B78" i="36"/>
  <c r="Z77" i="36"/>
  <c r="X77" i="36"/>
  <c r="N77" i="36"/>
  <c r="L77" i="36"/>
  <c r="B77" i="36"/>
  <c r="Z76" i="36"/>
  <c r="T76" i="36"/>
  <c r="P76" i="36"/>
  <c r="X76" i="36" s="1"/>
  <c r="N76" i="36"/>
  <c r="H76" i="36"/>
  <c r="D76" i="36"/>
  <c r="L76" i="36" s="1"/>
  <c r="B76" i="36"/>
  <c r="Z75" i="36"/>
  <c r="X75" i="36"/>
  <c r="N75" i="36"/>
  <c r="L75" i="36"/>
  <c r="B75" i="36"/>
  <c r="Z74" i="36"/>
  <c r="X74" i="36"/>
  <c r="L74" i="36"/>
  <c r="N74" i="36" s="1"/>
  <c r="B74" i="36"/>
  <c r="X73" i="36"/>
  <c r="Z73" i="36" s="1"/>
  <c r="L73" i="36"/>
  <c r="N73" i="36" s="1"/>
  <c r="B73" i="36"/>
  <c r="T72" i="36"/>
  <c r="P72" i="36"/>
  <c r="X72" i="36" s="1"/>
  <c r="Z72" i="36" s="1"/>
  <c r="H72" i="36"/>
  <c r="D72" i="36"/>
  <c r="L72" i="36" s="1"/>
  <c r="N72" i="36" s="1"/>
  <c r="B72" i="36"/>
  <c r="Z71" i="36"/>
  <c r="X71" i="36"/>
  <c r="N71" i="36"/>
  <c r="L71" i="36"/>
  <c r="B71" i="36"/>
  <c r="T70" i="36"/>
  <c r="P70" i="36"/>
  <c r="X70" i="36" s="1"/>
  <c r="Z70" i="36" s="1"/>
  <c r="N70" i="36"/>
  <c r="L70" i="36"/>
  <c r="H70" i="36"/>
  <c r="D70" i="36"/>
  <c r="B70" i="36"/>
  <c r="X69" i="36"/>
  <c r="Z69" i="36" s="1"/>
  <c r="L69" i="36"/>
  <c r="N69" i="36" s="1"/>
  <c r="B69" i="36"/>
  <c r="X68" i="36"/>
  <c r="Z68" i="36" s="1"/>
  <c r="T68" i="36"/>
  <c r="P68" i="36"/>
  <c r="H68" i="36"/>
  <c r="D68" i="36"/>
  <c r="B68" i="36"/>
  <c r="Z67" i="36"/>
  <c r="X67" i="36"/>
  <c r="N67" i="36"/>
  <c r="L67" i="36"/>
  <c r="B67" i="36"/>
  <c r="T66" i="36"/>
  <c r="P66" i="36"/>
  <c r="H66" i="36"/>
  <c r="D66" i="36"/>
  <c r="L66" i="36" s="1"/>
  <c r="N66" i="36" s="1"/>
  <c r="B66" i="36"/>
  <c r="X65" i="36"/>
  <c r="Z65" i="36" s="1"/>
  <c r="L65" i="36"/>
  <c r="N65" i="36" s="1"/>
  <c r="B65" i="36"/>
  <c r="T64" i="36"/>
  <c r="P64" i="36"/>
  <c r="X64" i="36" s="1"/>
  <c r="Z64" i="36" s="1"/>
  <c r="H64" i="36"/>
  <c r="D64" i="36"/>
  <c r="L64" i="36" s="1"/>
  <c r="N64" i="36" s="1"/>
  <c r="B64" i="36"/>
  <c r="Z63" i="36"/>
  <c r="X63" i="36"/>
  <c r="N63" i="36"/>
  <c r="L63" i="36"/>
  <c r="B63" i="36"/>
  <c r="T62" i="36"/>
  <c r="P62" i="36"/>
  <c r="X62" i="36" s="1"/>
  <c r="Z62" i="36" s="1"/>
  <c r="N62" i="36"/>
  <c r="L62" i="36"/>
  <c r="H62" i="36"/>
  <c r="D62" i="36"/>
  <c r="B62" i="36"/>
  <c r="X61" i="36"/>
  <c r="Z61" i="36" s="1"/>
  <c r="N61" i="36"/>
  <c r="L61" i="36"/>
  <c r="B61" i="36"/>
  <c r="X60" i="36"/>
  <c r="Z60" i="36" s="1"/>
  <c r="T60" i="36"/>
  <c r="P60" i="36"/>
  <c r="H60" i="36"/>
  <c r="D60" i="36"/>
  <c r="B60" i="36"/>
  <c r="Z59" i="36"/>
  <c r="X59" i="36"/>
  <c r="N59" i="36"/>
  <c r="L59" i="36"/>
  <c r="B59" i="36"/>
  <c r="T58" i="36"/>
  <c r="P58" i="36"/>
  <c r="H58" i="36"/>
  <c r="D58" i="36"/>
  <c r="L58" i="36" s="1"/>
  <c r="N58" i="36" s="1"/>
  <c r="B58" i="36"/>
  <c r="X57" i="36"/>
  <c r="Z57" i="36" s="1"/>
  <c r="N57" i="36"/>
  <c r="L57" i="36"/>
  <c r="B57" i="36"/>
  <c r="T56" i="36"/>
  <c r="P56" i="36"/>
  <c r="X56" i="36" s="1"/>
  <c r="Z56" i="36" s="1"/>
  <c r="N56" i="36"/>
  <c r="H56" i="36"/>
  <c r="D56" i="36"/>
  <c r="L56" i="36" s="1"/>
  <c r="B56" i="36"/>
  <c r="Z55" i="36"/>
  <c r="X55" i="36"/>
  <c r="N55" i="36"/>
  <c r="L55" i="36"/>
  <c r="B55" i="36"/>
  <c r="T54" i="36"/>
  <c r="P54" i="36"/>
  <c r="X54" i="36" s="1"/>
  <c r="Z54" i="36" s="1"/>
  <c r="L54" i="36"/>
  <c r="N54" i="36" s="1"/>
  <c r="H54" i="36"/>
  <c r="D54" i="36"/>
  <c r="B54" i="36"/>
  <c r="X53" i="36"/>
  <c r="Z53" i="36" s="1"/>
  <c r="L53" i="36"/>
  <c r="N53" i="36" s="1"/>
  <c r="B53" i="36"/>
  <c r="Z52" i="36"/>
  <c r="X52" i="36"/>
  <c r="L52" i="36"/>
  <c r="N52" i="36" s="1"/>
  <c r="B52" i="36"/>
  <c r="Z51" i="36"/>
  <c r="X51" i="36"/>
  <c r="T51" i="36"/>
  <c r="P51" i="36"/>
  <c r="L51" i="36"/>
  <c r="H51" i="36"/>
  <c r="D51" i="36"/>
  <c r="B51" i="36"/>
  <c r="X50" i="36"/>
  <c r="Z50" i="36" s="1"/>
  <c r="N50" i="36"/>
  <c r="L50" i="36"/>
  <c r="B50" i="36"/>
  <c r="X49" i="36"/>
  <c r="T49" i="36"/>
  <c r="P49" i="36"/>
  <c r="H49" i="36"/>
  <c r="D49" i="36"/>
  <c r="B49" i="36"/>
  <c r="X48" i="36"/>
  <c r="Z48" i="36" s="1"/>
  <c r="N48" i="36"/>
  <c r="L48" i="36"/>
  <c r="B48" i="36"/>
  <c r="T47" i="36"/>
  <c r="P47" i="36"/>
  <c r="H47" i="36"/>
  <c r="D47" i="36"/>
  <c r="L47" i="36" s="1"/>
  <c r="N47" i="36" s="1"/>
  <c r="B47" i="36"/>
  <c r="Z46" i="36"/>
  <c r="X46" i="36"/>
  <c r="L46" i="36"/>
  <c r="N46" i="36" s="1"/>
  <c r="B46" i="36"/>
  <c r="T45" i="36"/>
  <c r="P45" i="36"/>
  <c r="X45" i="36" s="1"/>
  <c r="Z45" i="36" s="1"/>
  <c r="N45" i="36"/>
  <c r="L45" i="36"/>
  <c r="H45" i="36"/>
  <c r="D45" i="36"/>
  <c r="B45" i="36"/>
  <c r="X44" i="36"/>
  <c r="Z44" i="36" s="1"/>
  <c r="N44" i="36"/>
  <c r="L44" i="36"/>
  <c r="B44" i="36"/>
  <c r="Z43" i="36"/>
  <c r="X43" i="36"/>
  <c r="N43" i="36"/>
  <c r="L43" i="36"/>
  <c r="B43" i="36"/>
  <c r="Z42" i="36"/>
  <c r="X42" i="36"/>
  <c r="L42" i="36"/>
  <c r="N42" i="36" s="1"/>
  <c r="B42" i="36"/>
  <c r="X41" i="36"/>
  <c r="Z41" i="36" s="1"/>
  <c r="L41" i="36"/>
  <c r="N41" i="36" s="1"/>
  <c r="B41" i="36"/>
  <c r="X40" i="36"/>
  <c r="Z40" i="36" s="1"/>
  <c r="N40" i="36"/>
  <c r="L40" i="36"/>
  <c r="B40" i="36"/>
  <c r="Z39" i="36"/>
  <c r="X39" i="36"/>
  <c r="N39" i="36"/>
  <c r="L39" i="36"/>
  <c r="B39" i="36"/>
  <c r="X38" i="36"/>
  <c r="Z38" i="36" s="1"/>
  <c r="N38" i="36"/>
  <c r="L38" i="36"/>
  <c r="B38" i="36"/>
  <c r="X37" i="36"/>
  <c r="T37" i="36"/>
  <c r="P37" i="36"/>
  <c r="H37" i="36"/>
  <c r="D37" i="36"/>
  <c r="B37" i="36"/>
  <c r="X36" i="36"/>
  <c r="Z36" i="36" s="1"/>
  <c r="N36" i="36"/>
  <c r="L36" i="36"/>
  <c r="B36" i="36"/>
  <c r="Z35" i="36"/>
  <c r="X35" i="36"/>
  <c r="N35" i="36"/>
  <c r="L35" i="36"/>
  <c r="B35" i="36"/>
  <c r="X34" i="36"/>
  <c r="Z34" i="36" s="1"/>
  <c r="N34" i="36"/>
  <c r="L34" i="36"/>
  <c r="B34" i="36"/>
  <c r="X33" i="36"/>
  <c r="Z33" i="36" s="1"/>
  <c r="L33" i="36"/>
  <c r="N33" i="36" s="1"/>
  <c r="B33" i="36"/>
  <c r="Z32" i="36"/>
  <c r="X32" i="36"/>
  <c r="L32" i="36"/>
  <c r="N32" i="36" s="1"/>
  <c r="B32" i="36"/>
  <c r="Z31" i="36"/>
  <c r="X31" i="36"/>
  <c r="N31" i="36"/>
  <c r="L31" i="36"/>
  <c r="B31" i="36"/>
  <c r="Z30" i="36"/>
  <c r="X30" i="36"/>
  <c r="L30" i="36"/>
  <c r="N30" i="36" s="1"/>
  <c r="B30" i="36"/>
  <c r="X29" i="36"/>
  <c r="Z29" i="36" s="1"/>
  <c r="L29" i="36"/>
  <c r="N29" i="36" s="1"/>
  <c r="B29" i="36"/>
  <c r="X28" i="36"/>
  <c r="Z28" i="36" s="1"/>
  <c r="N28" i="36"/>
  <c r="L28" i="36"/>
  <c r="B28" i="36"/>
  <c r="T27" i="36"/>
  <c r="P27" i="36"/>
  <c r="H27" i="36"/>
  <c r="D27" i="36"/>
  <c r="L27" i="36" s="1"/>
  <c r="N27" i="36" s="1"/>
  <c r="B27" i="36"/>
  <c r="T26" i="36" a="1"/>
  <c r="T26" i="36" s="1"/>
  <c r="P26" i="36" a="1"/>
  <c r="P26" i="36"/>
  <c r="X26" i="36" s="1"/>
  <c r="H26" i="36" a="1"/>
  <c r="H26" i="36" s="1"/>
  <c r="D26" i="36" a="1"/>
  <c r="D26" i="36"/>
  <c r="X22" i="36"/>
  <c r="Z22" i="36" s="1"/>
  <c r="N22" i="36"/>
  <c r="L22" i="36"/>
  <c r="B22" i="36"/>
  <c r="X21" i="36"/>
  <c r="Z21" i="36" s="1"/>
  <c r="V21" i="36"/>
  <c r="L21" i="36"/>
  <c r="N21" i="36" s="1"/>
  <c r="B21" i="36"/>
  <c r="T20" i="36"/>
  <c r="P20" i="36"/>
  <c r="X20" i="36" s="1"/>
  <c r="Z20" i="36" s="1"/>
  <c r="H20" i="36"/>
  <c r="D20" i="36"/>
  <c r="X18" i="36"/>
  <c r="Z18" i="36" s="1"/>
  <c r="T18" i="36"/>
  <c r="P18" i="36"/>
  <c r="L18" i="36"/>
  <c r="N18" i="36" s="1"/>
  <c r="H18" i="36"/>
  <c r="D18" i="36"/>
  <c r="B18" i="36"/>
  <c r="T17" i="36"/>
  <c r="P17" i="36"/>
  <c r="X17" i="36" s="1"/>
  <c r="Z17" i="36" s="1"/>
  <c r="N17" i="36"/>
  <c r="L17" i="36"/>
  <c r="H17" i="36"/>
  <c r="D17" i="36"/>
  <c r="B17" i="36"/>
  <c r="T16" i="36"/>
  <c r="P16" i="36"/>
  <c r="X16" i="36" s="1"/>
  <c r="N16" i="36"/>
  <c r="H16" i="36"/>
  <c r="D16" i="36"/>
  <c r="L16" i="36" s="1"/>
  <c r="B16" i="36"/>
  <c r="X15" i="36"/>
  <c r="T15" i="36"/>
  <c r="P15" i="36"/>
  <c r="H15" i="36"/>
  <c r="D15" i="36"/>
  <c r="B15" i="36"/>
  <c r="X14" i="36"/>
  <c r="Z14" i="36" s="1"/>
  <c r="T14" i="36"/>
  <c r="T12" i="36" s="1"/>
  <c r="P14" i="36"/>
  <c r="L14" i="36"/>
  <c r="N14" i="36" s="1"/>
  <c r="H14" i="36"/>
  <c r="D14" i="36"/>
  <c r="B14" i="36"/>
  <c r="Z13" i="36"/>
  <c r="X13" i="36"/>
  <c r="T13" i="36"/>
  <c r="P13" i="36"/>
  <c r="N13" i="36"/>
  <c r="H13" i="36"/>
  <c r="D13" i="36"/>
  <c r="L13" i="36" s="1"/>
  <c r="B13" i="36"/>
  <c r="P12" i="36"/>
  <c r="H12" i="36"/>
  <c r="D12" i="36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D20" i="35"/>
  <c r="T16" i="35"/>
  <c r="Z16" i="35" s="1"/>
  <c r="P16" i="35"/>
  <c r="H16" i="35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P12" i="35"/>
  <c r="H12" i="35"/>
  <c r="J31" i="35" s="1"/>
  <c r="D12" i="35"/>
  <c r="F20" i="35" s="1"/>
  <c r="D5" i="35"/>
  <c r="D4" i="35"/>
  <c r="X169" i="34"/>
  <c r="Z169" i="34" s="1"/>
  <c r="L169" i="34"/>
  <c r="N169" i="34" s="1"/>
  <c r="T165" i="34"/>
  <c r="P165" i="34"/>
  <c r="X165" i="34" s="1"/>
  <c r="Z165" i="34" s="1"/>
  <c r="H165" i="34"/>
  <c r="D165" i="34"/>
  <c r="B165" i="34"/>
  <c r="T164" i="34"/>
  <c r="P164" i="34"/>
  <c r="H164" i="34"/>
  <c r="N164" i="34" s="1"/>
  <c r="D164" i="34"/>
  <c r="L164" i="34" s="1"/>
  <c r="B164" i="34"/>
  <c r="T163" i="34"/>
  <c r="D163" i="34"/>
  <c r="X161" i="34"/>
  <c r="Z161" i="34" s="1"/>
  <c r="N161" i="34"/>
  <c r="L161" i="34"/>
  <c r="B161" i="34"/>
  <c r="T160" i="34"/>
  <c r="P160" i="34"/>
  <c r="X160" i="34" s="1"/>
  <c r="H160" i="34"/>
  <c r="D160" i="34"/>
  <c r="B160" i="34"/>
  <c r="Z159" i="34"/>
  <c r="X159" i="34"/>
  <c r="N159" i="34"/>
  <c r="L159" i="34"/>
  <c r="B159" i="34"/>
  <c r="T158" i="34"/>
  <c r="P158" i="34"/>
  <c r="L158" i="34"/>
  <c r="H158" i="34"/>
  <c r="N158" i="34" s="1"/>
  <c r="D158" i="34"/>
  <c r="B158" i="34"/>
  <c r="Z157" i="34"/>
  <c r="X157" i="34"/>
  <c r="N157" i="34"/>
  <c r="L157" i="34"/>
  <c r="B157" i="34"/>
  <c r="T156" i="34"/>
  <c r="P156" i="34"/>
  <c r="X156" i="34" s="1"/>
  <c r="N156" i="34"/>
  <c r="H156" i="34"/>
  <c r="L156" i="34" s="1"/>
  <c r="D156" i="34"/>
  <c r="B156" i="34"/>
  <c r="X155" i="34"/>
  <c r="Z155" i="34" s="1"/>
  <c r="L155" i="34"/>
  <c r="N155" i="34" s="1"/>
  <c r="B155" i="34"/>
  <c r="T154" i="34"/>
  <c r="P154" i="34"/>
  <c r="H154" i="34"/>
  <c r="D154" i="34"/>
  <c r="L154" i="34" s="1"/>
  <c r="B154" i="34"/>
  <c r="X153" i="34"/>
  <c r="Z153" i="34" s="1"/>
  <c r="N153" i="34"/>
  <c r="L153" i="34"/>
  <c r="B153" i="34"/>
  <c r="Z152" i="34"/>
  <c r="X152" i="34"/>
  <c r="N152" i="34"/>
  <c r="L152" i="34"/>
  <c r="B152" i="34"/>
  <c r="X151" i="34"/>
  <c r="Z151" i="34" s="1"/>
  <c r="L151" i="34"/>
  <c r="N151" i="34" s="1"/>
  <c r="B151" i="34"/>
  <c r="Z150" i="34"/>
  <c r="X150" i="34"/>
  <c r="N150" i="34"/>
  <c r="L150" i="34"/>
  <c r="B150" i="34"/>
  <c r="Z149" i="34"/>
  <c r="X149" i="34"/>
  <c r="N149" i="34"/>
  <c r="L149" i="34"/>
  <c r="B149" i="34"/>
  <c r="X148" i="34"/>
  <c r="Z148" i="34" s="1"/>
  <c r="N148" i="34"/>
  <c r="L148" i="34"/>
  <c r="B148" i="34"/>
  <c r="T147" i="34"/>
  <c r="P147" i="34"/>
  <c r="X147" i="34" s="1"/>
  <c r="Z147" i="34" s="1"/>
  <c r="N147" i="34"/>
  <c r="H147" i="34"/>
  <c r="D147" i="34"/>
  <c r="L147" i="34" s="1"/>
  <c r="B147" i="34"/>
  <c r="X146" i="34"/>
  <c r="Z146" i="34" s="1"/>
  <c r="N146" i="34"/>
  <c r="L146" i="34"/>
  <c r="B146" i="34"/>
  <c r="Z145" i="34"/>
  <c r="X145" i="34"/>
  <c r="N145" i="34"/>
  <c r="L145" i="34"/>
  <c r="B145" i="34"/>
  <c r="T144" i="34"/>
  <c r="P144" i="34"/>
  <c r="X144" i="34" s="1"/>
  <c r="H144" i="34"/>
  <c r="N144" i="34" s="1"/>
  <c r="D144" i="34"/>
  <c r="B144" i="34"/>
  <c r="Z143" i="34"/>
  <c r="X143" i="34"/>
  <c r="L143" i="34"/>
  <c r="N143" i="34" s="1"/>
  <c r="B143" i="34"/>
  <c r="X142" i="34"/>
  <c r="Z142" i="34" s="1"/>
  <c r="N142" i="34"/>
  <c r="L142" i="34"/>
  <c r="B142" i="34"/>
  <c r="Z141" i="34"/>
  <c r="X141" i="34"/>
  <c r="N141" i="34"/>
  <c r="L141" i="34"/>
  <c r="B141" i="34"/>
  <c r="X140" i="34"/>
  <c r="Z140" i="34" s="1"/>
  <c r="N140" i="34"/>
  <c r="L140" i="34"/>
  <c r="B140" i="34"/>
  <c r="T139" i="34"/>
  <c r="P139" i="34"/>
  <c r="X139" i="34" s="1"/>
  <c r="Z139" i="34" s="1"/>
  <c r="H139" i="34"/>
  <c r="D139" i="34"/>
  <c r="B139" i="34"/>
  <c r="Z138" i="34"/>
  <c r="X138" i="34"/>
  <c r="N138" i="34"/>
  <c r="L138" i="34"/>
  <c r="B138" i="34"/>
  <c r="Z137" i="34"/>
  <c r="X137" i="34"/>
  <c r="N137" i="34"/>
  <c r="L137" i="34"/>
  <c r="B137" i="34"/>
  <c r="X136" i="34"/>
  <c r="T136" i="34"/>
  <c r="Z136" i="34" s="1"/>
  <c r="P136" i="34"/>
  <c r="L136" i="34"/>
  <c r="H136" i="34"/>
  <c r="N136" i="34" s="1"/>
  <c r="D136" i="34"/>
  <c r="B136" i="34"/>
  <c r="Z135" i="34"/>
  <c r="X135" i="34"/>
  <c r="N135" i="34"/>
  <c r="L135" i="34"/>
  <c r="B135" i="34"/>
  <c r="X134" i="34"/>
  <c r="Z134" i="34" s="1"/>
  <c r="N134" i="34"/>
  <c r="L134" i="34"/>
  <c r="B134" i="34"/>
  <c r="Z133" i="34"/>
  <c r="X133" i="34"/>
  <c r="L133" i="34"/>
  <c r="N133" i="34" s="1"/>
  <c r="B133" i="34"/>
  <c r="T132" i="34"/>
  <c r="P132" i="34"/>
  <c r="X132" i="34" s="1"/>
  <c r="H132" i="34"/>
  <c r="D132" i="34"/>
  <c r="B132" i="34"/>
  <c r="X131" i="34"/>
  <c r="Z131" i="34" s="1"/>
  <c r="L131" i="34"/>
  <c r="N131" i="34" s="1"/>
  <c r="B131" i="34"/>
  <c r="T130" i="34"/>
  <c r="P130" i="34"/>
  <c r="L130" i="34"/>
  <c r="N130" i="34" s="1"/>
  <c r="H130" i="34"/>
  <c r="D130" i="34"/>
  <c r="B130" i="34"/>
  <c r="Z129" i="34"/>
  <c r="X129" i="34"/>
  <c r="N129" i="34"/>
  <c r="L129" i="34"/>
  <c r="B129" i="34"/>
  <c r="T128" i="34"/>
  <c r="Z128" i="34" s="1"/>
  <c r="P128" i="34"/>
  <c r="H128" i="34"/>
  <c r="N128" i="34" s="1"/>
  <c r="D128" i="34"/>
  <c r="L128" i="34" s="1"/>
  <c r="B128" i="34"/>
  <c r="Z127" i="34"/>
  <c r="X127" i="34"/>
  <c r="N127" i="34"/>
  <c r="L127" i="34"/>
  <c r="B127" i="34"/>
  <c r="Z126" i="34"/>
  <c r="X126" i="34"/>
  <c r="N126" i="34"/>
  <c r="L126" i="34"/>
  <c r="B126" i="34"/>
  <c r="X125" i="34"/>
  <c r="T125" i="34"/>
  <c r="P125" i="34"/>
  <c r="H125" i="34"/>
  <c r="N125" i="34" s="1"/>
  <c r="D125" i="34"/>
  <c r="L125" i="34" s="1"/>
  <c r="B125" i="34"/>
  <c r="X124" i="34"/>
  <c r="Z124" i="34" s="1"/>
  <c r="N124" i="34"/>
  <c r="L124" i="34"/>
  <c r="B124" i="34"/>
  <c r="T123" i="34"/>
  <c r="P123" i="34"/>
  <c r="H123" i="34"/>
  <c r="D123" i="34"/>
  <c r="B123" i="34"/>
  <c r="Z122" i="34"/>
  <c r="X122" i="34"/>
  <c r="N122" i="34"/>
  <c r="L122" i="34"/>
  <c r="B122" i="34"/>
  <c r="Z121" i="34"/>
  <c r="T121" i="34"/>
  <c r="P121" i="34"/>
  <c r="X121" i="34" s="1"/>
  <c r="N121" i="34"/>
  <c r="L121" i="34"/>
  <c r="H121" i="34"/>
  <c r="D121" i="34"/>
  <c r="B121" i="34"/>
  <c r="Z120" i="34"/>
  <c r="X120" i="34"/>
  <c r="L120" i="34"/>
  <c r="N120" i="34" s="1"/>
  <c r="B120" i="34"/>
  <c r="X119" i="34"/>
  <c r="Z119" i="34" s="1"/>
  <c r="N119" i="34"/>
  <c r="L119" i="34"/>
  <c r="B119" i="34"/>
  <c r="T118" i="34"/>
  <c r="P118" i="34"/>
  <c r="H118" i="34"/>
  <c r="D118" i="34"/>
  <c r="B118" i="34"/>
  <c r="Z117" i="34"/>
  <c r="X117" i="34"/>
  <c r="N117" i="34"/>
  <c r="L117" i="34"/>
  <c r="B117" i="34"/>
  <c r="T116" i="34"/>
  <c r="Z116" i="34" s="1"/>
  <c r="P116" i="34"/>
  <c r="X116" i="34" s="1"/>
  <c r="H116" i="34"/>
  <c r="N116" i="34" s="1"/>
  <c r="D116" i="34"/>
  <c r="B116" i="34"/>
  <c r="Z115" i="34"/>
  <c r="X115" i="34"/>
  <c r="N115" i="34"/>
  <c r="L115" i="34"/>
  <c r="B115" i="34"/>
  <c r="T114" i="34"/>
  <c r="Z114" i="34" s="1"/>
  <c r="P114" i="34"/>
  <c r="X114" i="34" s="1"/>
  <c r="H114" i="34"/>
  <c r="N114" i="34" s="1"/>
  <c r="D114" i="34"/>
  <c r="L114" i="34" s="1"/>
  <c r="B114" i="34"/>
  <c r="Z113" i="34"/>
  <c r="X113" i="34"/>
  <c r="N113" i="34"/>
  <c r="L113" i="34"/>
  <c r="B113" i="34"/>
  <c r="Z112" i="34"/>
  <c r="X112" i="34"/>
  <c r="N112" i="34"/>
  <c r="L112" i="34"/>
  <c r="B112" i="34"/>
  <c r="Z111" i="34"/>
  <c r="T111" i="34"/>
  <c r="X111" i="34" s="1"/>
  <c r="P111" i="34"/>
  <c r="N111" i="34"/>
  <c r="H111" i="34"/>
  <c r="D111" i="34"/>
  <c r="L111" i="34" s="1"/>
  <c r="B111" i="34"/>
  <c r="Z110" i="34"/>
  <c r="X110" i="34"/>
  <c r="N110" i="34"/>
  <c r="L110" i="34"/>
  <c r="B110" i="34"/>
  <c r="T109" i="34"/>
  <c r="Z109" i="34" s="1"/>
  <c r="P109" i="34"/>
  <c r="X109" i="34" s="1"/>
  <c r="L109" i="34"/>
  <c r="H109" i="34"/>
  <c r="N109" i="34" s="1"/>
  <c r="D109" i="34"/>
  <c r="B109" i="34"/>
  <c r="Z108" i="34"/>
  <c r="X108" i="34"/>
  <c r="N108" i="34"/>
  <c r="L108" i="34"/>
  <c r="B108" i="34"/>
  <c r="X107" i="34"/>
  <c r="T107" i="34"/>
  <c r="Z107" i="34" s="1"/>
  <c r="P107" i="34"/>
  <c r="H107" i="34"/>
  <c r="D107" i="34"/>
  <c r="L107" i="34" s="1"/>
  <c r="N107" i="34" s="1"/>
  <c r="B107" i="34"/>
  <c r="X106" i="34"/>
  <c r="Z106" i="34" s="1"/>
  <c r="N106" i="34"/>
  <c r="L106" i="34"/>
  <c r="B106" i="34"/>
  <c r="T105" i="34"/>
  <c r="P105" i="34"/>
  <c r="X105" i="34" s="1"/>
  <c r="Z105" i="34" s="1"/>
  <c r="H105" i="34"/>
  <c r="N105" i="34" s="1"/>
  <c r="D105" i="34"/>
  <c r="L105" i="34" s="1"/>
  <c r="B105" i="34"/>
  <c r="Z104" i="34"/>
  <c r="X104" i="34"/>
  <c r="N104" i="34"/>
  <c r="L104" i="34"/>
  <c r="B104" i="34"/>
  <c r="X103" i="34"/>
  <c r="Z103" i="34" s="1"/>
  <c r="L103" i="34"/>
  <c r="N103" i="34" s="1"/>
  <c r="B103" i="34"/>
  <c r="X102" i="34"/>
  <c r="Z102" i="34" s="1"/>
  <c r="N102" i="34"/>
  <c r="L102" i="34"/>
  <c r="B102" i="34"/>
  <c r="Z101" i="34"/>
  <c r="X101" i="34"/>
  <c r="L101" i="34"/>
  <c r="N101" i="34" s="1"/>
  <c r="B101" i="34"/>
  <c r="Z100" i="34"/>
  <c r="X100" i="34"/>
  <c r="N100" i="34"/>
  <c r="L100" i="34"/>
  <c r="B100" i="34"/>
  <c r="X99" i="34"/>
  <c r="Z99" i="34" s="1"/>
  <c r="L99" i="34"/>
  <c r="N99" i="34" s="1"/>
  <c r="B99" i="34"/>
  <c r="T98" i="34"/>
  <c r="P98" i="34"/>
  <c r="X98" i="34" s="1"/>
  <c r="Z98" i="34" s="1"/>
  <c r="H98" i="34"/>
  <c r="D98" i="34"/>
  <c r="L98" i="34" s="1"/>
  <c r="B98" i="34"/>
  <c r="Z97" i="34"/>
  <c r="X97" i="34"/>
  <c r="L97" i="34"/>
  <c r="N97" i="34" s="1"/>
  <c r="B97" i="34"/>
  <c r="Z96" i="34"/>
  <c r="X96" i="34"/>
  <c r="N96" i="34"/>
  <c r="L96" i="34"/>
  <c r="B96" i="34"/>
  <c r="X95" i="34"/>
  <c r="Z95" i="34" s="1"/>
  <c r="L95" i="34"/>
  <c r="N95" i="34" s="1"/>
  <c r="B95" i="34"/>
  <c r="Z94" i="34"/>
  <c r="X94" i="34"/>
  <c r="L94" i="34"/>
  <c r="N94" i="34" s="1"/>
  <c r="B94" i="34"/>
  <c r="X93" i="34"/>
  <c r="Z93" i="34" s="1"/>
  <c r="N93" i="34"/>
  <c r="L93" i="34"/>
  <c r="B93" i="34"/>
  <c r="Z92" i="34"/>
  <c r="X92" i="34"/>
  <c r="N92" i="34"/>
  <c r="L92" i="34"/>
  <c r="B92" i="34"/>
  <c r="X91" i="34"/>
  <c r="Z91" i="34" s="1"/>
  <c r="L91" i="34"/>
  <c r="N91" i="34" s="1"/>
  <c r="B91" i="34"/>
  <c r="X90" i="34"/>
  <c r="Z90" i="34" s="1"/>
  <c r="N90" i="34"/>
  <c r="L90" i="34"/>
  <c r="B90" i="34"/>
  <c r="T89" i="34"/>
  <c r="P89" i="34"/>
  <c r="X89" i="34" s="1"/>
  <c r="Z89" i="34" s="1"/>
  <c r="H89" i="34"/>
  <c r="N89" i="34" s="1"/>
  <c r="D89" i="34"/>
  <c r="L89" i="34" s="1"/>
  <c r="B89" i="34"/>
  <c r="T88" i="34" a="1"/>
  <c r="T88" i="34" s="1"/>
  <c r="P88" i="34" a="1"/>
  <c r="P88" i="34" s="1"/>
  <c r="X88" i="34" s="1"/>
  <c r="H88" i="34" a="1"/>
  <c r="H88" i="34" s="1"/>
  <c r="D88" i="34" a="1"/>
  <c r="D88" i="34" s="1"/>
  <c r="L88" i="34" s="1"/>
  <c r="Z84" i="34"/>
  <c r="X84" i="34"/>
  <c r="N84" i="34"/>
  <c r="L84" i="34"/>
  <c r="B84" i="34"/>
  <c r="Z83" i="34"/>
  <c r="X83" i="34"/>
  <c r="N83" i="34"/>
  <c r="L83" i="34"/>
  <c r="B83" i="34"/>
  <c r="Z82" i="34"/>
  <c r="X82" i="34"/>
  <c r="N82" i="34"/>
  <c r="L82" i="34"/>
  <c r="B82" i="34"/>
  <c r="X81" i="34"/>
  <c r="Z81" i="34" s="1"/>
  <c r="N81" i="34"/>
  <c r="L81" i="34"/>
  <c r="B81" i="34"/>
  <c r="Z80" i="34"/>
  <c r="X80" i="34"/>
  <c r="N80" i="34"/>
  <c r="L80" i="34"/>
  <c r="B80" i="34"/>
  <c r="X79" i="34"/>
  <c r="Z79" i="34" s="1"/>
  <c r="L79" i="34"/>
  <c r="N79" i="34" s="1"/>
  <c r="B79" i="34"/>
  <c r="X78" i="34"/>
  <c r="Z78" i="34" s="1"/>
  <c r="N78" i="34"/>
  <c r="L78" i="34"/>
  <c r="B78" i="34"/>
  <c r="Z77" i="34"/>
  <c r="X77" i="34"/>
  <c r="N77" i="34"/>
  <c r="L77" i="34"/>
  <c r="B77" i="34"/>
  <c r="Z76" i="34"/>
  <c r="X76" i="34"/>
  <c r="N76" i="34"/>
  <c r="L76" i="34"/>
  <c r="B76" i="34"/>
  <c r="X75" i="34"/>
  <c r="Z75" i="34" s="1"/>
  <c r="N75" i="34"/>
  <c r="L75" i="34"/>
  <c r="B75" i="34"/>
  <c r="Z74" i="34"/>
  <c r="X74" i="34"/>
  <c r="N74" i="34"/>
  <c r="L74" i="34"/>
  <c r="B74" i="34"/>
  <c r="X73" i="34"/>
  <c r="Z73" i="34" s="1"/>
  <c r="N73" i="34"/>
  <c r="L73" i="34"/>
  <c r="B73" i="34"/>
  <c r="Z72" i="34"/>
  <c r="X72" i="34"/>
  <c r="N72" i="34"/>
  <c r="L72" i="34"/>
  <c r="B72" i="34"/>
  <c r="X71" i="34"/>
  <c r="Z71" i="34" s="1"/>
  <c r="L71" i="34"/>
  <c r="N71" i="34" s="1"/>
  <c r="B71" i="34"/>
  <c r="X70" i="34"/>
  <c r="Z70" i="34" s="1"/>
  <c r="N70" i="34"/>
  <c r="L70" i="34"/>
  <c r="B70" i="34"/>
  <c r="Z69" i="34"/>
  <c r="X69" i="34"/>
  <c r="N69" i="34"/>
  <c r="L69" i="34"/>
  <c r="B69" i="34"/>
  <c r="Z68" i="34"/>
  <c r="X68" i="34"/>
  <c r="N68" i="34"/>
  <c r="L68" i="34"/>
  <c r="B68" i="34"/>
  <c r="X67" i="34"/>
  <c r="Z67" i="34" s="1"/>
  <c r="L67" i="34"/>
  <c r="N67" i="34" s="1"/>
  <c r="B67" i="34"/>
  <c r="Z66" i="34"/>
  <c r="X66" i="34"/>
  <c r="L66" i="34"/>
  <c r="N66" i="34" s="1"/>
  <c r="B66" i="34"/>
  <c r="X65" i="34"/>
  <c r="Z65" i="34" s="1"/>
  <c r="N65" i="34"/>
  <c r="L65" i="34"/>
  <c r="B65" i="34"/>
  <c r="Z64" i="34"/>
  <c r="X64" i="34"/>
  <c r="N64" i="34"/>
  <c r="L64" i="34"/>
  <c r="B64" i="34"/>
  <c r="X63" i="34"/>
  <c r="Z63" i="34" s="1"/>
  <c r="L63" i="34"/>
  <c r="N63" i="34" s="1"/>
  <c r="B63" i="34"/>
  <c r="X62" i="34"/>
  <c r="Z62" i="34" s="1"/>
  <c r="N62" i="34"/>
  <c r="L62" i="34"/>
  <c r="B62" i="34"/>
  <c r="Z61" i="34"/>
  <c r="X61" i="34"/>
  <c r="N61" i="34"/>
  <c r="L61" i="34"/>
  <c r="B61" i="34"/>
  <c r="Z60" i="34"/>
  <c r="X60" i="34"/>
  <c r="N60" i="34"/>
  <c r="L60" i="34"/>
  <c r="B60" i="34"/>
  <c r="Z59" i="34"/>
  <c r="X59" i="34"/>
  <c r="N59" i="34"/>
  <c r="L59" i="34"/>
  <c r="B59" i="34"/>
  <c r="T58" i="34"/>
  <c r="P58" i="34"/>
  <c r="X58" i="34" s="1"/>
  <c r="Z58" i="34" s="1"/>
  <c r="H58" i="34"/>
  <c r="D58" i="34"/>
  <c r="L58" i="34" s="1"/>
  <c r="X56" i="34"/>
  <c r="T56" i="34"/>
  <c r="Z56" i="34" s="1"/>
  <c r="P56" i="34"/>
  <c r="N56" i="34"/>
  <c r="H56" i="34"/>
  <c r="L56" i="34" s="1"/>
  <c r="D56" i="34"/>
  <c r="B56" i="34"/>
  <c r="T55" i="34"/>
  <c r="P55" i="34"/>
  <c r="X55" i="34" s="1"/>
  <c r="Z55" i="34" s="1"/>
  <c r="N55" i="34"/>
  <c r="L55" i="34"/>
  <c r="H55" i="34"/>
  <c r="D55" i="34"/>
  <c r="B55" i="34"/>
  <c r="T54" i="34"/>
  <c r="P54" i="34"/>
  <c r="X54" i="34" s="1"/>
  <c r="N54" i="34"/>
  <c r="H54" i="34"/>
  <c r="D54" i="34"/>
  <c r="L54" i="34" s="1"/>
  <c r="B54" i="34"/>
  <c r="X53" i="34"/>
  <c r="T53" i="34"/>
  <c r="Z53" i="34" s="1"/>
  <c r="P53" i="34"/>
  <c r="H53" i="34"/>
  <c r="N53" i="34" s="1"/>
  <c r="D53" i="34"/>
  <c r="L53" i="34" s="1"/>
  <c r="B53" i="34"/>
  <c r="Z52" i="34"/>
  <c r="T52" i="34"/>
  <c r="X52" i="34" s="1"/>
  <c r="P52" i="34"/>
  <c r="L52" i="34"/>
  <c r="H52" i="34"/>
  <c r="N52" i="34" s="1"/>
  <c r="D52" i="34"/>
  <c r="B52" i="34"/>
  <c r="X51" i="34"/>
  <c r="Z51" i="34" s="1"/>
  <c r="T51" i="34"/>
  <c r="P51" i="34"/>
  <c r="H51" i="34"/>
  <c r="D51" i="34"/>
  <c r="L51" i="34" s="1"/>
  <c r="N51" i="34" s="1"/>
  <c r="B51" i="34"/>
  <c r="T50" i="34"/>
  <c r="P50" i="34"/>
  <c r="X50" i="34" s="1"/>
  <c r="Z50" i="34" s="1"/>
  <c r="H50" i="34"/>
  <c r="N50" i="34" s="1"/>
  <c r="D50" i="34"/>
  <c r="L50" i="34" s="1"/>
  <c r="B50" i="34"/>
  <c r="T49" i="34"/>
  <c r="P49" i="34"/>
  <c r="X49" i="34" s="1"/>
  <c r="L49" i="34"/>
  <c r="H49" i="34"/>
  <c r="N49" i="34" s="1"/>
  <c r="D49" i="34"/>
  <c r="B49" i="34"/>
  <c r="X48" i="34"/>
  <c r="T48" i="34"/>
  <c r="Z48" i="34" s="1"/>
  <c r="P48" i="34"/>
  <c r="H48" i="34"/>
  <c r="L48" i="34" s="1"/>
  <c r="N48" i="34" s="1"/>
  <c r="D48" i="34"/>
  <c r="B48" i="34"/>
  <c r="T47" i="34"/>
  <c r="P47" i="34"/>
  <c r="X47" i="34" s="1"/>
  <c r="Z47" i="34" s="1"/>
  <c r="L47" i="34"/>
  <c r="N47" i="34" s="1"/>
  <c r="H47" i="34"/>
  <c r="D47" i="34"/>
  <c r="B47" i="34"/>
  <c r="T46" i="34"/>
  <c r="P46" i="34"/>
  <c r="X46" i="34" s="1"/>
  <c r="H46" i="34"/>
  <c r="D46" i="34"/>
  <c r="L46" i="34" s="1"/>
  <c r="N46" i="34" s="1"/>
  <c r="B46" i="34"/>
  <c r="X45" i="34"/>
  <c r="T45" i="34"/>
  <c r="Z45" i="34" s="1"/>
  <c r="P45" i="34"/>
  <c r="H45" i="34"/>
  <c r="D45" i="34"/>
  <c r="L45" i="34" s="1"/>
  <c r="B45" i="34"/>
  <c r="T44" i="34"/>
  <c r="X44" i="34" s="1"/>
  <c r="Z44" i="34" s="1"/>
  <c r="P44" i="34"/>
  <c r="L44" i="34"/>
  <c r="H44" i="34"/>
  <c r="N44" i="34" s="1"/>
  <c r="D44" i="34"/>
  <c r="B44" i="34"/>
  <c r="X43" i="34"/>
  <c r="Z43" i="34" s="1"/>
  <c r="T43" i="34"/>
  <c r="P43" i="34"/>
  <c r="N43" i="34"/>
  <c r="H43" i="34"/>
  <c r="D43" i="34"/>
  <c r="L43" i="34" s="1"/>
  <c r="B43" i="34"/>
  <c r="Z42" i="34"/>
  <c r="T42" i="34"/>
  <c r="P42" i="34"/>
  <c r="X42" i="34" s="1"/>
  <c r="H42" i="34"/>
  <c r="N42" i="34" s="1"/>
  <c r="D42" i="34"/>
  <c r="L42" i="34" s="1"/>
  <c r="B42" i="34"/>
  <c r="T41" i="34"/>
  <c r="P41" i="34"/>
  <c r="X41" i="34" s="1"/>
  <c r="L41" i="34"/>
  <c r="H41" i="34"/>
  <c r="N41" i="34" s="1"/>
  <c r="D41" i="34"/>
  <c r="B41" i="34"/>
  <c r="X40" i="34"/>
  <c r="T40" i="34"/>
  <c r="Z40" i="34" s="1"/>
  <c r="P40" i="34"/>
  <c r="H40" i="34"/>
  <c r="L40" i="34" s="1"/>
  <c r="N40" i="34" s="1"/>
  <c r="D40" i="34"/>
  <c r="B40" i="34"/>
  <c r="T39" i="34"/>
  <c r="P39" i="34"/>
  <c r="X39" i="34" s="1"/>
  <c r="Z39" i="34" s="1"/>
  <c r="L39" i="34"/>
  <c r="N39" i="34" s="1"/>
  <c r="H39" i="34"/>
  <c r="D39" i="34"/>
  <c r="B39" i="34"/>
  <c r="T38" i="34"/>
  <c r="P38" i="34"/>
  <c r="X38" i="34" s="1"/>
  <c r="H38" i="34"/>
  <c r="D38" i="34"/>
  <c r="L38" i="34" s="1"/>
  <c r="N38" i="34" s="1"/>
  <c r="B38" i="34"/>
  <c r="X37" i="34"/>
  <c r="T37" i="34"/>
  <c r="Z37" i="34" s="1"/>
  <c r="P37" i="34"/>
  <c r="H37" i="34"/>
  <c r="D37" i="34"/>
  <c r="L37" i="34" s="1"/>
  <c r="B37" i="34"/>
  <c r="T36" i="34"/>
  <c r="X36" i="34" s="1"/>
  <c r="Z36" i="34" s="1"/>
  <c r="P36" i="34"/>
  <c r="L36" i="34"/>
  <c r="H36" i="34"/>
  <c r="N36" i="34" s="1"/>
  <c r="D36" i="34"/>
  <c r="B36" i="34"/>
  <c r="X35" i="34"/>
  <c r="Z35" i="34" s="1"/>
  <c r="T35" i="34"/>
  <c r="P35" i="34"/>
  <c r="N35" i="34"/>
  <c r="H35" i="34"/>
  <c r="D35" i="34"/>
  <c r="L35" i="34" s="1"/>
  <c r="B35" i="34"/>
  <c r="T34" i="34"/>
  <c r="P34" i="34"/>
  <c r="X34" i="34" s="1"/>
  <c r="Z34" i="34" s="1"/>
  <c r="H34" i="34"/>
  <c r="N34" i="34" s="1"/>
  <c r="D34" i="34"/>
  <c r="L34" i="34" s="1"/>
  <c r="B34" i="34"/>
  <c r="T33" i="34"/>
  <c r="P33" i="34"/>
  <c r="X33" i="34" s="1"/>
  <c r="L33" i="34"/>
  <c r="H33" i="34"/>
  <c r="N33" i="34" s="1"/>
  <c r="D33" i="34"/>
  <c r="B33" i="34"/>
  <c r="X32" i="34"/>
  <c r="T32" i="34"/>
  <c r="Z32" i="34" s="1"/>
  <c r="P32" i="34"/>
  <c r="N32" i="34"/>
  <c r="H32" i="34"/>
  <c r="L32" i="34" s="1"/>
  <c r="D32" i="34"/>
  <c r="B32" i="34"/>
  <c r="T31" i="34"/>
  <c r="P31" i="34"/>
  <c r="X31" i="34" s="1"/>
  <c r="Z31" i="34" s="1"/>
  <c r="L31" i="34"/>
  <c r="N31" i="34" s="1"/>
  <c r="H31" i="34"/>
  <c r="D31" i="34"/>
  <c r="B31" i="34"/>
  <c r="T30" i="34"/>
  <c r="P30" i="34"/>
  <c r="X30" i="34" s="1"/>
  <c r="H30" i="34"/>
  <c r="D30" i="34"/>
  <c r="L30" i="34" s="1"/>
  <c r="N30" i="34" s="1"/>
  <c r="B30" i="34"/>
  <c r="X29" i="34"/>
  <c r="T29" i="34"/>
  <c r="Z29" i="34" s="1"/>
  <c r="P29" i="34"/>
  <c r="H29" i="34"/>
  <c r="D29" i="34"/>
  <c r="L29" i="34" s="1"/>
  <c r="B29" i="34"/>
  <c r="T28" i="34"/>
  <c r="X28" i="34" s="1"/>
  <c r="Z28" i="34" s="1"/>
  <c r="P28" i="34"/>
  <c r="L28" i="34"/>
  <c r="H28" i="34"/>
  <c r="N28" i="34" s="1"/>
  <c r="D28" i="34"/>
  <c r="B28" i="34"/>
  <c r="Z27" i="34"/>
  <c r="X27" i="34"/>
  <c r="T27" i="34"/>
  <c r="P27" i="34"/>
  <c r="N27" i="34"/>
  <c r="H27" i="34"/>
  <c r="D27" i="34"/>
  <c r="L27" i="34" s="1"/>
  <c r="B27" i="34"/>
  <c r="T26" i="34"/>
  <c r="P26" i="34"/>
  <c r="X26" i="34" s="1"/>
  <c r="Z26" i="34" s="1"/>
  <c r="H26" i="34"/>
  <c r="N26" i="34" s="1"/>
  <c r="D26" i="34"/>
  <c r="L26" i="34" s="1"/>
  <c r="B26" i="34"/>
  <c r="T25" i="34"/>
  <c r="P25" i="34"/>
  <c r="X25" i="34" s="1"/>
  <c r="L25" i="34"/>
  <c r="H25" i="34"/>
  <c r="N25" i="34" s="1"/>
  <c r="D25" i="34"/>
  <c r="B25" i="34"/>
  <c r="X24" i="34"/>
  <c r="T24" i="34"/>
  <c r="Z24" i="34" s="1"/>
  <c r="P24" i="34"/>
  <c r="H24" i="34"/>
  <c r="L24" i="34" s="1"/>
  <c r="N24" i="34" s="1"/>
  <c r="D24" i="34"/>
  <c r="B24" i="34"/>
  <c r="T23" i="34"/>
  <c r="P23" i="34"/>
  <c r="X23" i="34" s="1"/>
  <c r="Z23" i="34" s="1"/>
  <c r="L23" i="34"/>
  <c r="N23" i="34" s="1"/>
  <c r="H23" i="34"/>
  <c r="D23" i="34"/>
  <c r="B23" i="34"/>
  <c r="T22" i="34"/>
  <c r="P22" i="34"/>
  <c r="X22" i="34" s="1"/>
  <c r="H22" i="34"/>
  <c r="D22" i="34"/>
  <c r="L22" i="34" s="1"/>
  <c r="N22" i="34" s="1"/>
  <c r="B22" i="34"/>
  <c r="X21" i="34"/>
  <c r="T21" i="34"/>
  <c r="Z21" i="34" s="1"/>
  <c r="P21" i="34"/>
  <c r="H21" i="34"/>
  <c r="D21" i="34"/>
  <c r="L21" i="34" s="1"/>
  <c r="B21" i="34"/>
  <c r="T20" i="34"/>
  <c r="X20" i="34" s="1"/>
  <c r="Z20" i="34" s="1"/>
  <c r="P20" i="34"/>
  <c r="L20" i="34"/>
  <c r="H20" i="34"/>
  <c r="N20" i="34" s="1"/>
  <c r="D20" i="34"/>
  <c r="B20" i="34"/>
  <c r="X19" i="34"/>
  <c r="Z19" i="34" s="1"/>
  <c r="T19" i="34"/>
  <c r="P19" i="34"/>
  <c r="H19" i="34"/>
  <c r="D19" i="34"/>
  <c r="L19" i="34" s="1"/>
  <c r="N19" i="34" s="1"/>
  <c r="B19" i="34"/>
  <c r="T18" i="34"/>
  <c r="P18" i="34"/>
  <c r="X18" i="34" s="1"/>
  <c r="Z18" i="34" s="1"/>
  <c r="H18" i="34"/>
  <c r="N18" i="34" s="1"/>
  <c r="D18" i="34"/>
  <c r="L18" i="34" s="1"/>
  <c r="B18" i="34"/>
  <c r="T17" i="34"/>
  <c r="Z17" i="34" s="1"/>
  <c r="P17" i="34"/>
  <c r="X17" i="34" s="1"/>
  <c r="L17" i="34"/>
  <c r="H17" i="34"/>
  <c r="N17" i="34" s="1"/>
  <c r="D17" i="34"/>
  <c r="B17" i="34"/>
  <c r="X16" i="34"/>
  <c r="T16" i="34"/>
  <c r="Z16" i="34" s="1"/>
  <c r="P16" i="34"/>
  <c r="H16" i="34"/>
  <c r="L16" i="34" s="1"/>
  <c r="N16" i="34" s="1"/>
  <c r="D16" i="34"/>
  <c r="B16" i="34"/>
  <c r="T15" i="34"/>
  <c r="P15" i="34"/>
  <c r="X15" i="34" s="1"/>
  <c r="Z15" i="34" s="1"/>
  <c r="L15" i="34"/>
  <c r="N15" i="34" s="1"/>
  <c r="H15" i="34"/>
  <c r="D15" i="34"/>
  <c r="B15" i="34"/>
  <c r="T14" i="34"/>
  <c r="P14" i="34"/>
  <c r="X14" i="34" s="1"/>
  <c r="H14" i="34"/>
  <c r="D14" i="34"/>
  <c r="L14" i="34" s="1"/>
  <c r="N14" i="34" s="1"/>
  <c r="B14" i="34"/>
  <c r="X13" i="34"/>
  <c r="T13" i="34"/>
  <c r="Z13" i="34" s="1"/>
  <c r="P13" i="34"/>
  <c r="P12" i="34" s="1"/>
  <c r="H13" i="34"/>
  <c r="D13" i="34"/>
  <c r="L13" i="34" s="1"/>
  <c r="B13" i="34"/>
  <c r="D4" i="34"/>
  <c r="B39" i="33"/>
  <c r="B38" i="33"/>
  <c r="T34" i="33"/>
  <c r="Z34" i="33" s="1"/>
  <c r="P34" i="33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T25" i="33"/>
  <c r="Z25" i="33" s="1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P12" i="33"/>
  <c r="R34" i="33" s="1"/>
  <c r="H12" i="33"/>
  <c r="J36" i="33" s="1"/>
  <c r="D12" i="33"/>
  <c r="F21" i="33" s="1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D15" i="32"/>
  <c r="T13" i="32"/>
  <c r="Z13" i="32" s="1"/>
  <c r="P13" i="32"/>
  <c r="H13" i="32"/>
  <c r="N13" i="32" s="1"/>
  <c r="D13" i="32"/>
  <c r="B13" i="32"/>
  <c r="T12" i="32"/>
  <c r="P12" i="32"/>
  <c r="R20" i="32" s="1"/>
  <c r="H12" i="32"/>
  <c r="J18" i="32" s="1"/>
  <c r="D12" i="32"/>
  <c r="F24" i="32" s="1"/>
  <c r="D5" i="32"/>
  <c r="D4" i="32"/>
  <c r="X84" i="31"/>
  <c r="Z84" i="31" s="1"/>
  <c r="L84" i="31"/>
  <c r="N84" i="31" s="1"/>
  <c r="X80" i="31"/>
  <c r="T80" i="31"/>
  <c r="T78" i="31" s="1"/>
  <c r="P80" i="31"/>
  <c r="N80" i="31"/>
  <c r="H80" i="31"/>
  <c r="D80" i="31"/>
  <c r="D78" i="31" s="1"/>
  <c r="B80" i="31"/>
  <c r="X79" i="31"/>
  <c r="Z79" i="31" s="1"/>
  <c r="T79" i="31"/>
  <c r="P79" i="31"/>
  <c r="P78" i="31" s="1"/>
  <c r="X78" i="31" s="1"/>
  <c r="H79" i="31"/>
  <c r="L79" i="31" s="1"/>
  <c r="D79" i="31"/>
  <c r="B79" i="31"/>
  <c r="Z76" i="31"/>
  <c r="X76" i="31"/>
  <c r="N76" i="31"/>
  <c r="L76" i="31"/>
  <c r="B76" i="31"/>
  <c r="T75" i="31"/>
  <c r="Z75" i="31" s="1"/>
  <c r="P75" i="31"/>
  <c r="X75" i="31" s="1"/>
  <c r="N75" i="31"/>
  <c r="L75" i="31"/>
  <c r="H75" i="31"/>
  <c r="D75" i="31"/>
  <c r="B75" i="31"/>
  <c r="X74" i="31"/>
  <c r="Z74" i="31" s="1"/>
  <c r="L74" i="31"/>
  <c r="N74" i="31" s="1"/>
  <c r="B74" i="31"/>
  <c r="X73" i="31"/>
  <c r="Z73" i="31" s="1"/>
  <c r="T73" i="31"/>
  <c r="P73" i="31"/>
  <c r="H73" i="31"/>
  <c r="L73" i="31" s="1"/>
  <c r="D73" i="31"/>
  <c r="B73" i="31"/>
  <c r="X72" i="31"/>
  <c r="Z72" i="31" s="1"/>
  <c r="N72" i="31"/>
  <c r="L72" i="31"/>
  <c r="B72" i="31"/>
  <c r="Z71" i="31"/>
  <c r="X71" i="31"/>
  <c r="N71" i="31"/>
  <c r="L71" i="31"/>
  <c r="B71" i="31"/>
  <c r="X70" i="31"/>
  <c r="Z70" i="31" s="1"/>
  <c r="N70" i="31"/>
  <c r="L70" i="31"/>
  <c r="B70" i="31"/>
  <c r="X69" i="31"/>
  <c r="Z69" i="31" s="1"/>
  <c r="N69" i="31"/>
  <c r="L69" i="31"/>
  <c r="B69" i="31"/>
  <c r="Z68" i="31"/>
  <c r="X68" i="31"/>
  <c r="N68" i="31"/>
  <c r="L68" i="31"/>
  <c r="B68" i="31"/>
  <c r="T67" i="31"/>
  <c r="P67" i="31"/>
  <c r="X67" i="31" s="1"/>
  <c r="L67" i="31"/>
  <c r="N67" i="31" s="1"/>
  <c r="H67" i="31"/>
  <c r="D67" i="31"/>
  <c r="B67" i="31"/>
  <c r="X66" i="31"/>
  <c r="Z66" i="31" s="1"/>
  <c r="L66" i="31"/>
  <c r="N66" i="31" s="1"/>
  <c r="B66" i="31"/>
  <c r="X65" i="31"/>
  <c r="Z65" i="31" s="1"/>
  <c r="T65" i="31"/>
  <c r="P65" i="31"/>
  <c r="H65" i="31"/>
  <c r="N65" i="31" s="1"/>
  <c r="D65" i="31"/>
  <c r="L65" i="31" s="1"/>
  <c r="B65" i="31"/>
  <c r="Z64" i="31"/>
  <c r="X64" i="31"/>
  <c r="N64" i="31"/>
  <c r="L64" i="31"/>
  <c r="B64" i="31"/>
  <c r="Z63" i="31"/>
  <c r="X63" i="31"/>
  <c r="N63" i="31"/>
  <c r="L63" i="31"/>
  <c r="B63" i="31"/>
  <c r="X62" i="31"/>
  <c r="Z62" i="31" s="1"/>
  <c r="N62" i="31"/>
  <c r="L62" i="31"/>
  <c r="B62" i="31"/>
  <c r="X61" i="31"/>
  <c r="Z61" i="31" s="1"/>
  <c r="T61" i="31"/>
  <c r="P61" i="31"/>
  <c r="H61" i="31"/>
  <c r="D61" i="31"/>
  <c r="L61" i="31" s="1"/>
  <c r="B61" i="31"/>
  <c r="Z60" i="31"/>
  <c r="X60" i="31"/>
  <c r="N60" i="31"/>
  <c r="L60" i="31"/>
  <c r="B60" i="31"/>
  <c r="T59" i="31"/>
  <c r="Z59" i="31" s="1"/>
  <c r="P59" i="31"/>
  <c r="X59" i="31" s="1"/>
  <c r="N59" i="31"/>
  <c r="H59" i="31"/>
  <c r="D59" i="31"/>
  <c r="L59" i="31" s="1"/>
  <c r="B59" i="31"/>
  <c r="X58" i="31"/>
  <c r="Z58" i="31" s="1"/>
  <c r="L58" i="31"/>
  <c r="N58" i="31" s="1"/>
  <c r="B58" i="31"/>
  <c r="Z57" i="31"/>
  <c r="X57" i="31"/>
  <c r="L57" i="31"/>
  <c r="N57" i="31" s="1"/>
  <c r="B57" i="31"/>
  <c r="X56" i="31"/>
  <c r="Z56" i="31" s="1"/>
  <c r="T56" i="31"/>
  <c r="P56" i="31"/>
  <c r="L56" i="31"/>
  <c r="H56" i="31"/>
  <c r="N56" i="31" s="1"/>
  <c r="D56" i="31"/>
  <c r="B56" i="31"/>
  <c r="Z55" i="31"/>
  <c r="X55" i="31"/>
  <c r="N55" i="31"/>
  <c r="L55" i="31"/>
  <c r="B55" i="31"/>
  <c r="X54" i="31"/>
  <c r="T54" i="31"/>
  <c r="Z54" i="31" s="1"/>
  <c r="P54" i="31"/>
  <c r="H54" i="31"/>
  <c r="D54" i="31"/>
  <c r="L54" i="31" s="1"/>
  <c r="N54" i="31" s="1"/>
  <c r="B54" i="31"/>
  <c r="Z53" i="31"/>
  <c r="X53" i="31"/>
  <c r="N53" i="31"/>
  <c r="L53" i="31"/>
  <c r="B53" i="31"/>
  <c r="Z52" i="31"/>
  <c r="T52" i="31"/>
  <c r="P52" i="31"/>
  <c r="X52" i="31" s="1"/>
  <c r="H52" i="31"/>
  <c r="N52" i="31" s="1"/>
  <c r="D52" i="31"/>
  <c r="L52" i="31" s="1"/>
  <c r="B52" i="31"/>
  <c r="Z51" i="31"/>
  <c r="X51" i="31"/>
  <c r="N51" i="31"/>
  <c r="L51" i="31"/>
  <c r="B51" i="31"/>
  <c r="T50" i="31"/>
  <c r="Z50" i="31" s="1"/>
  <c r="P50" i="31"/>
  <c r="X50" i="31" s="1"/>
  <c r="L50" i="31"/>
  <c r="N50" i="31" s="1"/>
  <c r="H50" i="31"/>
  <c r="D50" i="31"/>
  <c r="B50" i="31"/>
  <c r="Z49" i="31"/>
  <c r="X49" i="31"/>
  <c r="N49" i="31"/>
  <c r="L49" i="31"/>
  <c r="B49" i="31"/>
  <c r="Z48" i="31"/>
  <c r="X48" i="31"/>
  <c r="T48" i="31"/>
  <c r="P48" i="31"/>
  <c r="L48" i="31"/>
  <c r="H48" i="31"/>
  <c r="N48" i="31" s="1"/>
  <c r="D48" i="31"/>
  <c r="B48" i="31"/>
  <c r="Z47" i="31"/>
  <c r="X47" i="31"/>
  <c r="N47" i="31"/>
  <c r="L47" i="31"/>
  <c r="B47" i="31"/>
  <c r="X46" i="31"/>
  <c r="Z46" i="31" s="1"/>
  <c r="N46" i="31"/>
  <c r="L46" i="31"/>
  <c r="B46" i="31"/>
  <c r="Z45" i="31"/>
  <c r="X45" i="31"/>
  <c r="L45" i="31"/>
  <c r="N45" i="31" s="1"/>
  <c r="B45" i="31"/>
  <c r="X44" i="31"/>
  <c r="Z44" i="31" s="1"/>
  <c r="T44" i="31"/>
  <c r="P44" i="31"/>
  <c r="L44" i="31"/>
  <c r="H44" i="31"/>
  <c r="N44" i="31" s="1"/>
  <c r="D44" i="31"/>
  <c r="B44" i="31"/>
  <c r="Z43" i="31"/>
  <c r="X43" i="31"/>
  <c r="N43" i="31"/>
  <c r="L43" i="31"/>
  <c r="B43" i="31"/>
  <c r="X42" i="31"/>
  <c r="Z42" i="31" s="1"/>
  <c r="L42" i="31"/>
  <c r="N42" i="31" s="1"/>
  <c r="B42" i="31"/>
  <c r="Z41" i="31"/>
  <c r="X41" i="31"/>
  <c r="L41" i="31"/>
  <c r="N41" i="31" s="1"/>
  <c r="B41" i="31"/>
  <c r="X40" i="31"/>
  <c r="Z40" i="31" s="1"/>
  <c r="N40" i="31"/>
  <c r="L40" i="31"/>
  <c r="B40" i="31"/>
  <c r="Z39" i="31"/>
  <c r="X39" i="31"/>
  <c r="N39" i="31"/>
  <c r="L39" i="31"/>
  <c r="B39" i="31"/>
  <c r="X38" i="31"/>
  <c r="Z38" i="31" s="1"/>
  <c r="L38" i="31"/>
  <c r="N38" i="31" s="1"/>
  <c r="B38" i="31"/>
  <c r="X37" i="31"/>
  <c r="Z37" i="31" s="1"/>
  <c r="N37" i="31"/>
  <c r="L37" i="31"/>
  <c r="B37" i="31"/>
  <c r="Z36" i="31"/>
  <c r="X36" i="31"/>
  <c r="L36" i="31"/>
  <c r="N36" i="31" s="1"/>
  <c r="B36" i="31"/>
  <c r="T35" i="31"/>
  <c r="P35" i="31"/>
  <c r="L35" i="31"/>
  <c r="N35" i="31" s="1"/>
  <c r="H35" i="31"/>
  <c r="D35" i="31"/>
  <c r="B35" i="31"/>
  <c r="T34" i="31" a="1"/>
  <c r="T34" i="31" s="1"/>
  <c r="P34" i="31" a="1"/>
  <c r="P34" i="31" s="1"/>
  <c r="H34" i="31" a="1"/>
  <c r="H34" i="31" s="1"/>
  <c r="D34" i="31" a="1"/>
  <c r="D34" i="31" s="1"/>
  <c r="Z30" i="31"/>
  <c r="X30" i="31"/>
  <c r="N30" i="31"/>
  <c r="L30" i="31"/>
  <c r="B30" i="31"/>
  <c r="Z29" i="31"/>
  <c r="X29" i="31"/>
  <c r="N29" i="31"/>
  <c r="L29" i="31"/>
  <c r="B29" i="31"/>
  <c r="Z28" i="31"/>
  <c r="X28" i="31"/>
  <c r="N28" i="31"/>
  <c r="L28" i="31"/>
  <c r="B28" i="31"/>
  <c r="T27" i="31"/>
  <c r="Z27" i="31" s="1"/>
  <c r="P27" i="31"/>
  <c r="X27" i="31" s="1"/>
  <c r="N27" i="31"/>
  <c r="H27" i="31"/>
  <c r="D27" i="31"/>
  <c r="L27" i="31" s="1"/>
  <c r="T25" i="31"/>
  <c r="Z25" i="31" s="1"/>
  <c r="P25" i="31"/>
  <c r="X25" i="31" s="1"/>
  <c r="N25" i="31"/>
  <c r="H25" i="31"/>
  <c r="D25" i="31"/>
  <c r="L25" i="31" s="1"/>
  <c r="B25" i="31"/>
  <c r="X24" i="31"/>
  <c r="T24" i="31"/>
  <c r="Z24" i="31" s="1"/>
  <c r="P24" i="31"/>
  <c r="H24" i="31"/>
  <c r="N24" i="31" s="1"/>
  <c r="D24" i="31"/>
  <c r="L24" i="31" s="1"/>
  <c r="B24" i="31"/>
  <c r="Z23" i="31"/>
  <c r="X23" i="31"/>
  <c r="T23" i="31"/>
  <c r="P23" i="31"/>
  <c r="L23" i="31"/>
  <c r="H23" i="31"/>
  <c r="N23" i="31" s="1"/>
  <c r="D23" i="31"/>
  <c r="B23" i="31"/>
  <c r="Z22" i="31"/>
  <c r="X22" i="31"/>
  <c r="T22" i="31"/>
  <c r="P22" i="31"/>
  <c r="H22" i="31"/>
  <c r="D22" i="31"/>
  <c r="L22" i="31" s="1"/>
  <c r="N22" i="31" s="1"/>
  <c r="B22" i="31"/>
  <c r="T21" i="31"/>
  <c r="P21" i="31"/>
  <c r="X21" i="31" s="1"/>
  <c r="Z21" i="31" s="1"/>
  <c r="H21" i="31"/>
  <c r="D21" i="31"/>
  <c r="L21" i="31" s="1"/>
  <c r="B21" i="31"/>
  <c r="T20" i="31"/>
  <c r="Z20" i="31" s="1"/>
  <c r="P20" i="31"/>
  <c r="X20" i="31" s="1"/>
  <c r="L20" i="31"/>
  <c r="H20" i="31"/>
  <c r="N20" i="31" s="1"/>
  <c r="D20" i="31"/>
  <c r="B20" i="31"/>
  <c r="X19" i="31"/>
  <c r="T19" i="31"/>
  <c r="Z19" i="31" s="1"/>
  <c r="P19" i="31"/>
  <c r="N19" i="31"/>
  <c r="L19" i="31"/>
  <c r="H19" i="31"/>
  <c r="D19" i="31"/>
  <c r="B19" i="31"/>
  <c r="Z18" i="31"/>
  <c r="T18" i="31"/>
  <c r="P18" i="31"/>
  <c r="X18" i="31" s="1"/>
  <c r="N18" i="31"/>
  <c r="L18" i="31"/>
  <c r="H18" i="31"/>
  <c r="D18" i="31"/>
  <c r="B18" i="31"/>
  <c r="T17" i="31"/>
  <c r="Z17" i="31" s="1"/>
  <c r="P17" i="31"/>
  <c r="X17" i="31" s="1"/>
  <c r="H17" i="31"/>
  <c r="D17" i="31"/>
  <c r="L17" i="31" s="1"/>
  <c r="N17" i="31" s="1"/>
  <c r="B17" i="31"/>
  <c r="X16" i="31"/>
  <c r="T16" i="31"/>
  <c r="Z16" i="31" s="1"/>
  <c r="P16" i="31"/>
  <c r="H16" i="31"/>
  <c r="N16" i="31" s="1"/>
  <c r="D16" i="31"/>
  <c r="L16" i="31" s="1"/>
  <c r="B16" i="31"/>
  <c r="Z15" i="31"/>
  <c r="X15" i="31"/>
  <c r="T15" i="31"/>
  <c r="P15" i="31"/>
  <c r="L15" i="31"/>
  <c r="H15" i="31"/>
  <c r="N15" i="31" s="1"/>
  <c r="D15" i="31"/>
  <c r="B15" i="31"/>
  <c r="Z14" i="31"/>
  <c r="X14" i="31"/>
  <c r="T14" i="31"/>
  <c r="P14" i="31"/>
  <c r="H14" i="31"/>
  <c r="D14" i="31"/>
  <c r="L14" i="31" s="1"/>
  <c r="N14" i="31" s="1"/>
  <c r="B14" i="31"/>
  <c r="T13" i="31"/>
  <c r="P13" i="31"/>
  <c r="H13" i="31"/>
  <c r="N13" i="31" s="1"/>
  <c r="D13" i="31"/>
  <c r="L13" i="31" s="1"/>
  <c r="B13" i="31"/>
  <c r="T12" i="3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Z25" i="30" s="1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15" i="30" s="1"/>
  <c r="P12" i="30"/>
  <c r="R22" i="30" s="1"/>
  <c r="H12" i="30"/>
  <c r="D12" i="30"/>
  <c r="F29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5" i="29" s="1"/>
  <c r="P12" i="29"/>
  <c r="R36" i="29" s="1"/>
  <c r="H12" i="29"/>
  <c r="D12" i="29"/>
  <c r="F21" i="29" s="1"/>
  <c r="D5" i="29"/>
  <c r="D4" i="29"/>
  <c r="Z166" i="28"/>
  <c r="X166" i="28"/>
  <c r="N166" i="28"/>
  <c r="L166" i="28"/>
  <c r="Z162" i="28"/>
  <c r="T162" i="28"/>
  <c r="P162" i="28"/>
  <c r="X162" i="28" s="1"/>
  <c r="H162" i="28"/>
  <c r="D162" i="28"/>
  <c r="L162" i="28" s="1"/>
  <c r="N162" i="28" s="1"/>
  <c r="B162" i="28"/>
  <c r="X161" i="28"/>
  <c r="T161" i="28"/>
  <c r="P161" i="28"/>
  <c r="N161" i="28"/>
  <c r="H161" i="28"/>
  <c r="H160" i="28" s="1"/>
  <c r="D161" i="28"/>
  <c r="D160" i="28" s="1"/>
  <c r="B161" i="28"/>
  <c r="P160" i="28"/>
  <c r="X158" i="28"/>
  <c r="Z158" i="28" s="1"/>
  <c r="N158" i="28"/>
  <c r="L158" i="28"/>
  <c r="B158" i="28"/>
  <c r="T157" i="28"/>
  <c r="P157" i="28"/>
  <c r="H157" i="28"/>
  <c r="D157" i="28"/>
  <c r="B157" i="28"/>
  <c r="Z156" i="28"/>
  <c r="X156" i="28"/>
  <c r="N156" i="28"/>
  <c r="L156" i="28"/>
  <c r="B156" i="28"/>
  <c r="T155" i="28"/>
  <c r="P155" i="28"/>
  <c r="X155" i="28" s="1"/>
  <c r="N155" i="28"/>
  <c r="H155" i="28"/>
  <c r="D155" i="28"/>
  <c r="L155" i="28" s="1"/>
  <c r="B155" i="28"/>
  <c r="Z154" i="28"/>
  <c r="X154" i="28"/>
  <c r="N154" i="28"/>
  <c r="L154" i="28"/>
  <c r="B154" i="28"/>
  <c r="T153" i="28"/>
  <c r="Z153" i="28" s="1"/>
  <c r="P153" i="28"/>
  <c r="H153" i="28"/>
  <c r="N153" i="28" s="1"/>
  <c r="D153" i="28"/>
  <c r="L153" i="28" s="1"/>
  <c r="B153" i="28"/>
  <c r="Z152" i="28"/>
  <c r="X152" i="28"/>
  <c r="N152" i="28"/>
  <c r="L152" i="28"/>
  <c r="B152" i="28"/>
  <c r="T151" i="28"/>
  <c r="P151" i="28"/>
  <c r="X151" i="28" s="1"/>
  <c r="L151" i="28"/>
  <c r="H151" i="28"/>
  <c r="N151" i="28" s="1"/>
  <c r="D151" i="28"/>
  <c r="B151" i="28"/>
  <c r="X150" i="28"/>
  <c r="Z150" i="28" s="1"/>
  <c r="N150" i="28"/>
  <c r="L150" i="28"/>
  <c r="B150" i="28"/>
  <c r="Z149" i="28"/>
  <c r="X149" i="28"/>
  <c r="N149" i="28"/>
  <c r="L149" i="28"/>
  <c r="B149" i="28"/>
  <c r="Z148" i="28"/>
  <c r="X148" i="28"/>
  <c r="N148" i="28"/>
  <c r="L148" i="28"/>
  <c r="B148" i="28"/>
  <c r="X147" i="28"/>
  <c r="Z147" i="28" s="1"/>
  <c r="N147" i="28"/>
  <c r="L147" i="28"/>
  <c r="B147" i="28"/>
  <c r="X146" i="28"/>
  <c r="Z146" i="28" s="1"/>
  <c r="N146" i="28"/>
  <c r="L146" i="28"/>
  <c r="B146" i="28"/>
  <c r="Z145" i="28"/>
  <c r="X145" i="28"/>
  <c r="N145" i="28"/>
  <c r="L145" i="28"/>
  <c r="B145" i="28"/>
  <c r="T144" i="28"/>
  <c r="P144" i="28"/>
  <c r="X144" i="28" s="1"/>
  <c r="Z144" i="28" s="1"/>
  <c r="L144" i="28"/>
  <c r="N144" i="28" s="1"/>
  <c r="H144" i="28"/>
  <c r="D144" i="28"/>
  <c r="B144" i="28"/>
  <c r="X143" i="28"/>
  <c r="Z143" i="28" s="1"/>
  <c r="N143" i="28"/>
  <c r="L143" i="28"/>
  <c r="B143" i="28"/>
  <c r="Z142" i="28"/>
  <c r="X142" i="28"/>
  <c r="N142" i="28"/>
  <c r="L142" i="28"/>
  <c r="B142" i="28"/>
  <c r="X141" i="28"/>
  <c r="T141" i="28"/>
  <c r="P141" i="28"/>
  <c r="L141" i="28"/>
  <c r="H141" i="28"/>
  <c r="N141" i="28" s="1"/>
  <c r="D141" i="28"/>
  <c r="B141" i="28"/>
  <c r="Z140" i="28"/>
  <c r="X140" i="28"/>
  <c r="N140" i="28"/>
  <c r="L140" i="28"/>
  <c r="B140" i="28"/>
  <c r="X139" i="28"/>
  <c r="Z139" i="28" s="1"/>
  <c r="L139" i="28"/>
  <c r="N139" i="28" s="1"/>
  <c r="B139" i="28"/>
  <c r="X138" i="28"/>
  <c r="Z138" i="28" s="1"/>
  <c r="N138" i="28"/>
  <c r="L138" i="28"/>
  <c r="B138" i="28"/>
  <c r="Z137" i="28"/>
  <c r="T137" i="28"/>
  <c r="P137" i="28"/>
  <c r="X137" i="28" s="1"/>
  <c r="H137" i="28"/>
  <c r="D137" i="28"/>
  <c r="L137" i="28" s="1"/>
  <c r="B137" i="28"/>
  <c r="Z136" i="28"/>
  <c r="X136" i="28"/>
  <c r="N136" i="28"/>
  <c r="L136" i="28"/>
  <c r="B136" i="28"/>
  <c r="X135" i="28"/>
  <c r="Z135" i="28" s="1"/>
  <c r="N135" i="28"/>
  <c r="L135" i="28"/>
  <c r="B135" i="28"/>
  <c r="T134" i="28"/>
  <c r="P134" i="28"/>
  <c r="X134" i="28" s="1"/>
  <c r="Z134" i="28" s="1"/>
  <c r="H134" i="28"/>
  <c r="L134" i="28" s="1"/>
  <c r="D134" i="28"/>
  <c r="B134" i="28"/>
  <c r="Z133" i="28"/>
  <c r="X133" i="28"/>
  <c r="N133" i="28"/>
  <c r="L133" i="28"/>
  <c r="B133" i="28"/>
  <c r="Z132" i="28"/>
  <c r="X132" i="28"/>
  <c r="N132" i="28"/>
  <c r="L132" i="28"/>
  <c r="B132" i="28"/>
  <c r="X131" i="28"/>
  <c r="Z131" i="28" s="1"/>
  <c r="L131" i="28"/>
  <c r="N131" i="28" s="1"/>
  <c r="B131" i="28"/>
  <c r="T130" i="28"/>
  <c r="P130" i="28"/>
  <c r="X130" i="28" s="1"/>
  <c r="Z130" i="28" s="1"/>
  <c r="N130" i="28"/>
  <c r="H130" i="28"/>
  <c r="L130" i="28" s="1"/>
  <c r="D130" i="28"/>
  <c r="B130" i="28"/>
  <c r="Z129" i="28"/>
  <c r="X129" i="28"/>
  <c r="N129" i="28"/>
  <c r="L129" i="28"/>
  <c r="B129" i="28"/>
  <c r="T128" i="28"/>
  <c r="X128" i="28" s="1"/>
  <c r="P128" i="28"/>
  <c r="H128" i="28"/>
  <c r="D128" i="28"/>
  <c r="L128" i="28" s="1"/>
  <c r="N128" i="28" s="1"/>
  <c r="B128" i="28"/>
  <c r="Z127" i="28"/>
  <c r="X127" i="28"/>
  <c r="N127" i="28"/>
  <c r="L127" i="28"/>
  <c r="B127" i="28"/>
  <c r="Z126" i="28"/>
  <c r="T126" i="28"/>
  <c r="P126" i="28"/>
  <c r="X126" i="28" s="1"/>
  <c r="N126" i="28"/>
  <c r="H126" i="28"/>
  <c r="D126" i="28"/>
  <c r="L126" i="28" s="1"/>
  <c r="B126" i="28"/>
  <c r="Z125" i="28"/>
  <c r="X125" i="28"/>
  <c r="N125" i="28"/>
  <c r="L125" i="28"/>
  <c r="B125" i="28"/>
  <c r="Z124" i="28"/>
  <c r="X124" i="28"/>
  <c r="N124" i="28"/>
  <c r="L124" i="28"/>
  <c r="B124" i="28"/>
  <c r="T123" i="28"/>
  <c r="P123" i="28"/>
  <c r="H123" i="28"/>
  <c r="D123" i="28"/>
  <c r="B123" i="28"/>
  <c r="Z122" i="28"/>
  <c r="X122" i="28"/>
  <c r="L122" i="28"/>
  <c r="N122" i="28" s="1"/>
  <c r="B122" i="28"/>
  <c r="X121" i="28"/>
  <c r="T121" i="28"/>
  <c r="Z121" i="28" s="1"/>
  <c r="P121" i="28"/>
  <c r="L121" i="28"/>
  <c r="H121" i="28"/>
  <c r="D121" i="28"/>
  <c r="B121" i="28"/>
  <c r="Z120" i="28"/>
  <c r="X120" i="28"/>
  <c r="N120" i="28"/>
  <c r="L120" i="28"/>
  <c r="B120" i="28"/>
  <c r="T119" i="28"/>
  <c r="P119" i="28"/>
  <c r="H119" i="28"/>
  <c r="N119" i="28" s="1"/>
  <c r="D119" i="28"/>
  <c r="B119" i="28"/>
  <c r="Z118" i="28"/>
  <c r="X118" i="28"/>
  <c r="L118" i="28"/>
  <c r="N118" i="28" s="1"/>
  <c r="B118" i="28"/>
  <c r="X117" i="28"/>
  <c r="Z117" i="28" s="1"/>
  <c r="N117" i="28"/>
  <c r="L117" i="28"/>
  <c r="B117" i="28"/>
  <c r="T116" i="28"/>
  <c r="P116" i="28"/>
  <c r="H116" i="28"/>
  <c r="D116" i="28"/>
  <c r="L116" i="28" s="1"/>
  <c r="N116" i="28" s="1"/>
  <c r="B116" i="28"/>
  <c r="Z115" i="28"/>
  <c r="X115" i="28"/>
  <c r="N115" i="28"/>
  <c r="L115" i="28"/>
  <c r="B115" i="28"/>
  <c r="Z114" i="28"/>
  <c r="T114" i="28"/>
  <c r="P114" i="28"/>
  <c r="X114" i="28" s="1"/>
  <c r="H114" i="28"/>
  <c r="N114" i="28" s="1"/>
  <c r="D114" i="28"/>
  <c r="L114" i="28" s="1"/>
  <c r="B114" i="28"/>
  <c r="Z113" i="28"/>
  <c r="X113" i="28"/>
  <c r="N113" i="28"/>
  <c r="L113" i="28"/>
  <c r="B113" i="28"/>
  <c r="T112" i="28"/>
  <c r="Z112" i="28" s="1"/>
  <c r="P112" i="28"/>
  <c r="N112" i="28"/>
  <c r="H112" i="28"/>
  <c r="D112" i="28"/>
  <c r="L112" i="28" s="1"/>
  <c r="B112" i="28"/>
  <c r="Z111" i="28"/>
  <c r="X111" i="28"/>
  <c r="N111" i="28"/>
  <c r="L111" i="28"/>
  <c r="B111" i="28"/>
  <c r="Z110" i="28"/>
  <c r="X110" i="28"/>
  <c r="N110" i="28"/>
  <c r="L110" i="28"/>
  <c r="B110" i="28"/>
  <c r="T109" i="28"/>
  <c r="Z109" i="28" s="1"/>
  <c r="P109" i="28"/>
  <c r="H109" i="28"/>
  <c r="N109" i="28" s="1"/>
  <c r="D109" i="28"/>
  <c r="L109" i="28" s="1"/>
  <c r="B109" i="28"/>
  <c r="Z108" i="28"/>
  <c r="X108" i="28"/>
  <c r="N108" i="28"/>
  <c r="L108" i="28"/>
  <c r="B108" i="28"/>
  <c r="T107" i="28"/>
  <c r="P107" i="28"/>
  <c r="X107" i="28" s="1"/>
  <c r="L107" i="28"/>
  <c r="H107" i="28"/>
  <c r="N107" i="28" s="1"/>
  <c r="D107" i="28"/>
  <c r="B107" i="28"/>
  <c r="X106" i="28"/>
  <c r="Z106" i="28" s="1"/>
  <c r="N106" i="28"/>
  <c r="L106" i="28"/>
  <c r="B106" i="28"/>
  <c r="T105" i="28"/>
  <c r="P105" i="28"/>
  <c r="X105" i="28" s="1"/>
  <c r="H105" i="28"/>
  <c r="D105" i="28"/>
  <c r="B105" i="28"/>
  <c r="Z104" i="28"/>
  <c r="X104" i="28"/>
  <c r="N104" i="28"/>
  <c r="L104" i="28"/>
  <c r="B104" i="28"/>
  <c r="T103" i="28"/>
  <c r="P103" i="28"/>
  <c r="X103" i="28" s="1"/>
  <c r="H103" i="28"/>
  <c r="D103" i="28"/>
  <c r="L103" i="28" s="1"/>
  <c r="N103" i="28" s="1"/>
  <c r="B103" i="28"/>
  <c r="X102" i="28"/>
  <c r="Z102" i="28" s="1"/>
  <c r="L102" i="28"/>
  <c r="N102" i="28" s="1"/>
  <c r="B102" i="28"/>
  <c r="Z101" i="28"/>
  <c r="X101" i="28"/>
  <c r="L101" i="28"/>
  <c r="N101" i="28" s="1"/>
  <c r="B101" i="28"/>
  <c r="X100" i="28"/>
  <c r="Z100" i="28" s="1"/>
  <c r="L100" i="28"/>
  <c r="N100" i="28" s="1"/>
  <c r="B100" i="28"/>
  <c r="Z99" i="28"/>
  <c r="X99" i="28"/>
  <c r="N99" i="28"/>
  <c r="L99" i="28"/>
  <c r="B99" i="28"/>
  <c r="Z98" i="28"/>
  <c r="X98" i="28"/>
  <c r="L98" i="28"/>
  <c r="N98" i="28" s="1"/>
  <c r="B98" i="28"/>
  <c r="X97" i="28"/>
  <c r="Z97" i="28" s="1"/>
  <c r="N97" i="28"/>
  <c r="L97" i="28"/>
  <c r="B97" i="28"/>
  <c r="X96" i="28"/>
  <c r="T96" i="28"/>
  <c r="Z96" i="28" s="1"/>
  <c r="P96" i="28"/>
  <c r="H96" i="28"/>
  <c r="D96" i="28"/>
  <c r="B96" i="28"/>
  <c r="Z95" i="28"/>
  <c r="X95" i="28"/>
  <c r="N95" i="28"/>
  <c r="L95" i="28"/>
  <c r="B95" i="28"/>
  <c r="Z94" i="28"/>
  <c r="X94" i="28"/>
  <c r="L94" i="28"/>
  <c r="N94" i="28" s="1"/>
  <c r="B94" i="28"/>
  <c r="Z93" i="28"/>
  <c r="X93" i="28"/>
  <c r="N93" i="28"/>
  <c r="L93" i="28"/>
  <c r="B93" i="28"/>
  <c r="X92" i="28"/>
  <c r="Z92" i="28" s="1"/>
  <c r="L92" i="28"/>
  <c r="N92" i="28" s="1"/>
  <c r="B92" i="28"/>
  <c r="Z91" i="28"/>
  <c r="X91" i="28"/>
  <c r="N91" i="28"/>
  <c r="L91" i="28"/>
  <c r="B91" i="28"/>
  <c r="X90" i="28"/>
  <c r="Z90" i="28" s="1"/>
  <c r="N90" i="28"/>
  <c r="L90" i="28"/>
  <c r="B90" i="28"/>
  <c r="Z89" i="28"/>
  <c r="X89" i="28"/>
  <c r="N89" i="28"/>
  <c r="L89" i="28"/>
  <c r="B89" i="28"/>
  <c r="X88" i="28"/>
  <c r="Z88" i="28" s="1"/>
  <c r="L88" i="28"/>
  <c r="N88" i="28" s="1"/>
  <c r="B88" i="28"/>
  <c r="Z87" i="28"/>
  <c r="X87" i="28"/>
  <c r="T87" i="28"/>
  <c r="P87" i="28"/>
  <c r="H87" i="28"/>
  <c r="L87" i="28" s="1"/>
  <c r="N87" i="28" s="1"/>
  <c r="D87" i="28"/>
  <c r="B87" i="28"/>
  <c r="T86" i="28" a="1"/>
  <c r="T86" i="28" s="1"/>
  <c r="P86" i="28" a="1"/>
  <c r="P86" i="28"/>
  <c r="X86" i="28" s="1"/>
  <c r="H86" i="28" a="1"/>
  <c r="H86" i="28" s="1"/>
  <c r="D86" i="28" a="1"/>
  <c r="D86" i="28"/>
  <c r="L86" i="28" s="1"/>
  <c r="Z82" i="28"/>
  <c r="X82" i="28"/>
  <c r="L82" i="28"/>
  <c r="N82" i="28" s="1"/>
  <c r="B82" i="28"/>
  <c r="Z81" i="28"/>
  <c r="X81" i="28"/>
  <c r="N81" i="28"/>
  <c r="L81" i="28"/>
  <c r="B81" i="28"/>
  <c r="X80" i="28"/>
  <c r="Z80" i="28" s="1"/>
  <c r="N80" i="28"/>
  <c r="L80" i="28"/>
  <c r="B80" i="28"/>
  <c r="Z79" i="28"/>
  <c r="X79" i="28"/>
  <c r="N79" i="28"/>
  <c r="L79" i="28"/>
  <c r="B79" i="28"/>
  <c r="X78" i="28"/>
  <c r="Z78" i="28" s="1"/>
  <c r="N78" i="28"/>
  <c r="L78" i="28"/>
  <c r="B78" i="28"/>
  <c r="Z77" i="28"/>
  <c r="X77" i="28"/>
  <c r="L77" i="28"/>
  <c r="N77" i="28" s="1"/>
  <c r="B77" i="28"/>
  <c r="X76" i="28"/>
  <c r="Z76" i="28" s="1"/>
  <c r="N76" i="28"/>
  <c r="L76" i="28"/>
  <c r="B76" i="28"/>
  <c r="Z75" i="28"/>
  <c r="X75" i="28"/>
  <c r="N75" i="28"/>
  <c r="L75" i="28"/>
  <c r="B75" i="28"/>
  <c r="Z74" i="28"/>
  <c r="X74" i="28"/>
  <c r="N74" i="28"/>
  <c r="L74" i="28"/>
  <c r="B74" i="28"/>
  <c r="X73" i="28"/>
  <c r="Z73" i="28" s="1"/>
  <c r="N73" i="28"/>
  <c r="L73" i="28"/>
  <c r="B73" i="28"/>
  <c r="Z72" i="28"/>
  <c r="X72" i="28"/>
  <c r="N72" i="28"/>
  <c r="L72" i="28"/>
  <c r="B72" i="28"/>
  <c r="Z71" i="28"/>
  <c r="X71" i="28"/>
  <c r="N71" i="28"/>
  <c r="L71" i="28"/>
  <c r="B71" i="28"/>
  <c r="X70" i="28"/>
  <c r="Z70" i="28" s="1"/>
  <c r="N70" i="28"/>
  <c r="L70" i="28"/>
  <c r="B70" i="28"/>
  <c r="Z69" i="28"/>
  <c r="X69" i="28"/>
  <c r="L69" i="28"/>
  <c r="N69" i="28" s="1"/>
  <c r="B69" i="28"/>
  <c r="X68" i="28"/>
  <c r="Z68" i="28" s="1"/>
  <c r="L68" i="28"/>
  <c r="N68" i="28" s="1"/>
  <c r="B68" i="28"/>
  <c r="Z67" i="28"/>
  <c r="X67" i="28"/>
  <c r="N67" i="28"/>
  <c r="L67" i="28"/>
  <c r="B67" i="28"/>
  <c r="Z66" i="28"/>
  <c r="X66" i="28"/>
  <c r="N66" i="28"/>
  <c r="L66" i="28"/>
  <c r="B66" i="28"/>
  <c r="X65" i="28"/>
  <c r="Z65" i="28" s="1"/>
  <c r="N65" i="28"/>
  <c r="L65" i="28"/>
  <c r="B65" i="28"/>
  <c r="X64" i="28"/>
  <c r="Z64" i="28" s="1"/>
  <c r="L64" i="28"/>
  <c r="N64" i="28" s="1"/>
  <c r="B64" i="28"/>
  <c r="Z63" i="28"/>
  <c r="X63" i="28"/>
  <c r="N63" i="28"/>
  <c r="L63" i="28"/>
  <c r="B63" i="28"/>
  <c r="X62" i="28"/>
  <c r="Z62" i="28" s="1"/>
  <c r="N62" i="28"/>
  <c r="L62" i="28"/>
  <c r="B62" i="28"/>
  <c r="Z61" i="28"/>
  <c r="X61" i="28"/>
  <c r="L61" i="28"/>
  <c r="N61" i="28" s="1"/>
  <c r="B61" i="28"/>
  <c r="X60" i="28"/>
  <c r="Z60" i="28" s="1"/>
  <c r="N60" i="28"/>
  <c r="L60" i="28"/>
  <c r="B60" i="28"/>
  <c r="Z59" i="28"/>
  <c r="X59" i="28"/>
  <c r="N59" i="28"/>
  <c r="L59" i="28"/>
  <c r="B59" i="28"/>
  <c r="Z58" i="28"/>
  <c r="X58" i="28"/>
  <c r="N58" i="28"/>
  <c r="L58" i="28"/>
  <c r="B58" i="28"/>
  <c r="Z57" i="28"/>
  <c r="X57" i="28"/>
  <c r="N57" i="28"/>
  <c r="L57" i="28"/>
  <c r="B57" i="28"/>
  <c r="X56" i="28"/>
  <c r="T56" i="28"/>
  <c r="P56" i="28"/>
  <c r="H56" i="28"/>
  <c r="D56" i="28"/>
  <c r="X54" i="28"/>
  <c r="T54" i="28"/>
  <c r="Z54" i="28" s="1"/>
  <c r="P54" i="28"/>
  <c r="L54" i="28"/>
  <c r="H54" i="28"/>
  <c r="N54" i="28" s="1"/>
  <c r="D54" i="28"/>
  <c r="B54" i="28"/>
  <c r="Z53" i="28"/>
  <c r="X53" i="28"/>
  <c r="T53" i="28"/>
  <c r="P53" i="28"/>
  <c r="N53" i="28"/>
  <c r="H53" i="28"/>
  <c r="D53" i="28"/>
  <c r="L53" i="28" s="1"/>
  <c r="B53" i="28"/>
  <c r="T52" i="28"/>
  <c r="P52" i="28"/>
  <c r="X52" i="28" s="1"/>
  <c r="Z52" i="28" s="1"/>
  <c r="H52" i="28"/>
  <c r="N52" i="28" s="1"/>
  <c r="D52" i="28"/>
  <c r="L52" i="28" s="1"/>
  <c r="B52" i="28"/>
  <c r="T51" i="28"/>
  <c r="P51" i="28"/>
  <c r="X51" i="28" s="1"/>
  <c r="H51" i="28"/>
  <c r="N51" i="28" s="1"/>
  <c r="D51" i="28"/>
  <c r="L51" i="28" s="1"/>
  <c r="B51" i="28"/>
  <c r="X50" i="28"/>
  <c r="T50" i="28"/>
  <c r="Z50" i="28" s="1"/>
  <c r="P50" i="28"/>
  <c r="L50" i="28"/>
  <c r="H50" i="28"/>
  <c r="N50" i="28" s="1"/>
  <c r="D50" i="28"/>
  <c r="B50" i="28"/>
  <c r="T49" i="28"/>
  <c r="P49" i="28"/>
  <c r="X49" i="28" s="1"/>
  <c r="Z49" i="28" s="1"/>
  <c r="N49" i="28"/>
  <c r="L49" i="28"/>
  <c r="H49" i="28"/>
  <c r="D49" i="28"/>
  <c r="B49" i="28"/>
  <c r="T48" i="28"/>
  <c r="P48" i="28"/>
  <c r="X48" i="28" s="1"/>
  <c r="H48" i="28"/>
  <c r="D48" i="28"/>
  <c r="L48" i="28" s="1"/>
  <c r="N48" i="28" s="1"/>
  <c r="B48" i="28"/>
  <c r="T47" i="28"/>
  <c r="P47" i="28"/>
  <c r="X47" i="28" s="1"/>
  <c r="H47" i="28"/>
  <c r="D47" i="28"/>
  <c r="B47" i="28"/>
  <c r="X46" i="28"/>
  <c r="T46" i="28"/>
  <c r="Z46" i="28" s="1"/>
  <c r="P46" i="28"/>
  <c r="L46" i="28"/>
  <c r="H46" i="28"/>
  <c r="N46" i="28" s="1"/>
  <c r="D46" i="28"/>
  <c r="B46" i="28"/>
  <c r="Z45" i="28"/>
  <c r="X45" i="28"/>
  <c r="T45" i="28"/>
  <c r="P45" i="28"/>
  <c r="N45" i="28"/>
  <c r="H45" i="28"/>
  <c r="D45" i="28"/>
  <c r="L45" i="28" s="1"/>
  <c r="B45" i="28"/>
  <c r="T44" i="28"/>
  <c r="P44" i="28"/>
  <c r="X44" i="28" s="1"/>
  <c r="Z44" i="28" s="1"/>
  <c r="H44" i="28"/>
  <c r="N44" i="28" s="1"/>
  <c r="D44" i="28"/>
  <c r="L44" i="28" s="1"/>
  <c r="B44" i="28"/>
  <c r="T43" i="28"/>
  <c r="P43" i="28"/>
  <c r="H43" i="28"/>
  <c r="D43" i="28"/>
  <c r="L43" i="28" s="1"/>
  <c r="B43" i="28"/>
  <c r="X42" i="28"/>
  <c r="T42" i="28"/>
  <c r="P42" i="28"/>
  <c r="L42" i="28"/>
  <c r="H42" i="28"/>
  <c r="N42" i="28" s="1"/>
  <c r="D42" i="28"/>
  <c r="B42" i="28"/>
  <c r="Z41" i="28"/>
  <c r="T41" i="28"/>
  <c r="P41" i="28"/>
  <c r="X41" i="28" s="1"/>
  <c r="N41" i="28"/>
  <c r="L41" i="28"/>
  <c r="H41" i="28"/>
  <c r="D41" i="28"/>
  <c r="B41" i="28"/>
  <c r="T40" i="28"/>
  <c r="Z40" i="28" s="1"/>
  <c r="P40" i="28"/>
  <c r="X40" i="28" s="1"/>
  <c r="N40" i="28"/>
  <c r="H40" i="28"/>
  <c r="D40" i="28"/>
  <c r="L40" i="28" s="1"/>
  <c r="B40" i="28"/>
  <c r="T39" i="28"/>
  <c r="P39" i="28"/>
  <c r="X39" i="28" s="1"/>
  <c r="H39" i="28"/>
  <c r="N39" i="28" s="1"/>
  <c r="D39" i="28"/>
  <c r="L39" i="28" s="1"/>
  <c r="B39" i="28"/>
  <c r="X38" i="28"/>
  <c r="T38" i="28"/>
  <c r="Z38" i="28" s="1"/>
  <c r="P38" i="28"/>
  <c r="L38" i="28"/>
  <c r="H38" i="28"/>
  <c r="N38" i="28" s="1"/>
  <c r="D38" i="28"/>
  <c r="B38" i="28"/>
  <c r="Z37" i="28"/>
  <c r="X37" i="28"/>
  <c r="T37" i="28"/>
  <c r="P37" i="28"/>
  <c r="H37" i="28"/>
  <c r="L37" i="28" s="1"/>
  <c r="N37" i="28" s="1"/>
  <c r="D37" i="28"/>
  <c r="B37" i="28"/>
  <c r="T36" i="28"/>
  <c r="P36" i="28"/>
  <c r="X36" i="28" s="1"/>
  <c r="Z36" i="28" s="1"/>
  <c r="H36" i="28"/>
  <c r="D36" i="28"/>
  <c r="L36" i="28" s="1"/>
  <c r="N36" i="28" s="1"/>
  <c r="B36" i="28"/>
  <c r="T35" i="28"/>
  <c r="P35" i="28"/>
  <c r="H35" i="28"/>
  <c r="N35" i="28" s="1"/>
  <c r="D35" i="28"/>
  <c r="L35" i="28" s="1"/>
  <c r="B35" i="28"/>
  <c r="X34" i="28"/>
  <c r="T34" i="28"/>
  <c r="P34" i="28"/>
  <c r="L34" i="28"/>
  <c r="H34" i="28"/>
  <c r="N34" i="28" s="1"/>
  <c r="D34" i="28"/>
  <c r="B34" i="28"/>
  <c r="T33" i="28"/>
  <c r="X33" i="28" s="1"/>
  <c r="Z33" i="28" s="1"/>
  <c r="P33" i="28"/>
  <c r="N33" i="28"/>
  <c r="L33" i="28"/>
  <c r="H33" i="28"/>
  <c r="D33" i="28"/>
  <c r="B33" i="28"/>
  <c r="T32" i="28"/>
  <c r="P32" i="28"/>
  <c r="X32" i="28" s="1"/>
  <c r="Z32" i="28" s="1"/>
  <c r="N32" i="28"/>
  <c r="H32" i="28"/>
  <c r="D32" i="28"/>
  <c r="L32" i="28" s="1"/>
  <c r="B32" i="28"/>
  <c r="T31" i="28"/>
  <c r="Z31" i="28" s="1"/>
  <c r="P31" i="28"/>
  <c r="X31" i="28" s="1"/>
  <c r="H31" i="28"/>
  <c r="N31" i="28" s="1"/>
  <c r="D31" i="28"/>
  <c r="L31" i="28" s="1"/>
  <c r="B31" i="28"/>
  <c r="X30" i="28"/>
  <c r="T30" i="28"/>
  <c r="Z30" i="28" s="1"/>
  <c r="P30" i="28"/>
  <c r="L30" i="28"/>
  <c r="H30" i="28"/>
  <c r="N30" i="28" s="1"/>
  <c r="D30" i="28"/>
  <c r="B30" i="28"/>
  <c r="Z29" i="28"/>
  <c r="X29" i="28"/>
  <c r="T29" i="28"/>
  <c r="P29" i="28"/>
  <c r="N29" i="28"/>
  <c r="H29" i="28"/>
  <c r="L29" i="28" s="1"/>
  <c r="D29" i="28"/>
  <c r="B29" i="28"/>
  <c r="T28" i="28"/>
  <c r="P28" i="28"/>
  <c r="X28" i="28" s="1"/>
  <c r="Z28" i="28" s="1"/>
  <c r="H28" i="28"/>
  <c r="D28" i="28"/>
  <c r="L28" i="28" s="1"/>
  <c r="N28" i="28" s="1"/>
  <c r="B28" i="28"/>
  <c r="T27" i="28"/>
  <c r="P27" i="28"/>
  <c r="X27" i="28" s="1"/>
  <c r="H27" i="28"/>
  <c r="N27" i="28" s="1"/>
  <c r="D27" i="28"/>
  <c r="L27" i="28" s="1"/>
  <c r="B27" i="28"/>
  <c r="X26" i="28"/>
  <c r="T26" i="28"/>
  <c r="P26" i="28"/>
  <c r="L26" i="28"/>
  <c r="H26" i="28"/>
  <c r="N26" i="28" s="1"/>
  <c r="D26" i="28"/>
  <c r="B26" i="28"/>
  <c r="Z25" i="28"/>
  <c r="T25" i="28"/>
  <c r="X25" i="28" s="1"/>
  <c r="P25" i="28"/>
  <c r="N25" i="28"/>
  <c r="L25" i="28"/>
  <c r="H25" i="28"/>
  <c r="D25" i="28"/>
  <c r="B25" i="28"/>
  <c r="T24" i="28"/>
  <c r="P24" i="28"/>
  <c r="X24" i="28" s="1"/>
  <c r="Z24" i="28" s="1"/>
  <c r="H24" i="28"/>
  <c r="D24" i="28"/>
  <c r="L24" i="28" s="1"/>
  <c r="N24" i="28" s="1"/>
  <c r="B24" i="28"/>
  <c r="T23" i="28"/>
  <c r="P23" i="28"/>
  <c r="X23" i="28" s="1"/>
  <c r="H23" i="28"/>
  <c r="D23" i="28"/>
  <c r="B23" i="28"/>
  <c r="X22" i="28"/>
  <c r="T22" i="28"/>
  <c r="Z22" i="28" s="1"/>
  <c r="P22" i="28"/>
  <c r="L22" i="28"/>
  <c r="H22" i="28"/>
  <c r="N22" i="28" s="1"/>
  <c r="D22" i="28"/>
  <c r="B22" i="28"/>
  <c r="Z21" i="28"/>
  <c r="X21" i="28"/>
  <c r="T21" i="28"/>
  <c r="P21" i="28"/>
  <c r="H21" i="28"/>
  <c r="L21" i="28" s="1"/>
  <c r="N21" i="28" s="1"/>
  <c r="D21" i="28"/>
  <c r="B21" i="28"/>
  <c r="T20" i="28"/>
  <c r="P20" i="28"/>
  <c r="X20" i="28" s="1"/>
  <c r="Z20" i="28" s="1"/>
  <c r="H20" i="28"/>
  <c r="D20" i="28"/>
  <c r="L20" i="28" s="1"/>
  <c r="N20" i="28" s="1"/>
  <c r="B20" i="28"/>
  <c r="T19" i="28"/>
  <c r="P19" i="28"/>
  <c r="H19" i="28"/>
  <c r="D19" i="28"/>
  <c r="L19" i="28" s="1"/>
  <c r="B19" i="28"/>
  <c r="X18" i="28"/>
  <c r="T18" i="28"/>
  <c r="P18" i="28"/>
  <c r="L18" i="28"/>
  <c r="H18" i="28"/>
  <c r="N18" i="28" s="1"/>
  <c r="D18" i="28"/>
  <c r="B18" i="28"/>
  <c r="T17" i="28"/>
  <c r="X17" i="28" s="1"/>
  <c r="Z17" i="28" s="1"/>
  <c r="P17" i="28"/>
  <c r="N17" i="28"/>
  <c r="L17" i="28"/>
  <c r="H17" i="28"/>
  <c r="D17" i="28"/>
  <c r="B17" i="28"/>
  <c r="T16" i="28"/>
  <c r="P16" i="28"/>
  <c r="X16" i="28" s="1"/>
  <c r="Z16" i="28" s="1"/>
  <c r="H16" i="28"/>
  <c r="D16" i="28"/>
  <c r="B16" i="28"/>
  <c r="T15" i="28"/>
  <c r="Z15" i="28" s="1"/>
  <c r="P15" i="28"/>
  <c r="X15" i="28" s="1"/>
  <c r="H15" i="28"/>
  <c r="D15" i="28"/>
  <c r="B15" i="28"/>
  <c r="X14" i="28"/>
  <c r="T14" i="28"/>
  <c r="Z14" i="28" s="1"/>
  <c r="P14" i="28"/>
  <c r="L14" i="28"/>
  <c r="H14" i="28"/>
  <c r="D14" i="28"/>
  <c r="B14" i="28"/>
  <c r="Z13" i="28"/>
  <c r="X13" i="28"/>
  <c r="T13" i="28"/>
  <c r="P13" i="28"/>
  <c r="N13" i="28"/>
  <c r="H13" i="28"/>
  <c r="L13" i="28" s="1"/>
  <c r="D13" i="28"/>
  <c r="B13" i="28"/>
  <c r="P12" i="28"/>
  <c r="R66" i="28" s="1"/>
  <c r="D4" i="28"/>
  <c r="B39" i="27"/>
  <c r="B38" i="27"/>
  <c r="T34" i="27"/>
  <c r="Z34" i="27" s="1"/>
  <c r="P34" i="27"/>
  <c r="H34" i="27"/>
  <c r="N34" i="27" s="1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N21" i="27" s="1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V22" i="27" s="1"/>
  <c r="P12" i="27"/>
  <c r="H12" i="27"/>
  <c r="J22" i="27" s="1"/>
  <c r="D12" i="27"/>
  <c r="F18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P12" i="26"/>
  <c r="H12" i="26"/>
  <c r="J36" i="26" s="1"/>
  <c r="D12" i="26"/>
  <c r="F24" i="26" s="1"/>
  <c r="D5" i="26"/>
  <c r="D4" i="26"/>
  <c r="Z118" i="25"/>
  <c r="X118" i="25"/>
  <c r="N118" i="25"/>
  <c r="L118" i="25"/>
  <c r="Z114" i="25"/>
  <c r="X114" i="25"/>
  <c r="T114" i="25"/>
  <c r="P114" i="25"/>
  <c r="H114" i="25"/>
  <c r="D114" i="25"/>
  <c r="B114" i="25"/>
  <c r="T113" i="25"/>
  <c r="P113" i="25"/>
  <c r="L113" i="25"/>
  <c r="H113" i="25"/>
  <c r="N113" i="25" s="1"/>
  <c r="D113" i="25"/>
  <c r="B113" i="25"/>
  <c r="T112" i="25"/>
  <c r="Z112" i="25" s="1"/>
  <c r="P112" i="25"/>
  <c r="X112" i="25" s="1"/>
  <c r="N112" i="25"/>
  <c r="L112" i="25"/>
  <c r="H112" i="25"/>
  <c r="D112" i="25"/>
  <c r="D111" i="25" s="1"/>
  <c r="L111" i="25" s="1"/>
  <c r="B112" i="25"/>
  <c r="P111" i="25"/>
  <c r="H111" i="25"/>
  <c r="X109" i="25"/>
  <c r="Z109" i="25" s="1"/>
  <c r="N109" i="25"/>
  <c r="L109" i="25"/>
  <c r="B109" i="25"/>
  <c r="T108" i="25"/>
  <c r="P108" i="25"/>
  <c r="X108" i="25" s="1"/>
  <c r="Z108" i="25" s="1"/>
  <c r="H108" i="25"/>
  <c r="N108" i="25" s="1"/>
  <c r="D108" i="25"/>
  <c r="L108" i="25" s="1"/>
  <c r="B108" i="25"/>
  <c r="Z107" i="25"/>
  <c r="X107" i="25"/>
  <c r="L107" i="25"/>
  <c r="N107" i="25" s="1"/>
  <c r="B107" i="25"/>
  <c r="X106" i="25"/>
  <c r="Z106" i="25" s="1"/>
  <c r="N106" i="25"/>
  <c r="L106" i="25"/>
  <c r="B106" i="25"/>
  <c r="X105" i="25"/>
  <c r="T105" i="25"/>
  <c r="Z105" i="25" s="1"/>
  <c r="P105" i="25"/>
  <c r="H105" i="25"/>
  <c r="D105" i="25"/>
  <c r="B105" i="25"/>
  <c r="Z104" i="25"/>
  <c r="X104" i="25"/>
  <c r="N104" i="25"/>
  <c r="L104" i="25"/>
  <c r="B104" i="25"/>
  <c r="Z103" i="25"/>
  <c r="X103" i="25"/>
  <c r="L103" i="25"/>
  <c r="N103" i="25" s="1"/>
  <c r="B103" i="25"/>
  <c r="T102" i="25"/>
  <c r="Z102" i="25" s="1"/>
  <c r="P102" i="25"/>
  <c r="X102" i="25" s="1"/>
  <c r="N102" i="25"/>
  <c r="L102" i="25"/>
  <c r="H102" i="25"/>
  <c r="D102" i="25"/>
  <c r="B102" i="25"/>
  <c r="X101" i="25"/>
  <c r="Z101" i="25" s="1"/>
  <c r="N101" i="25"/>
  <c r="L101" i="25"/>
  <c r="B101" i="25"/>
  <c r="Z100" i="25"/>
  <c r="X100" i="25"/>
  <c r="N100" i="25"/>
  <c r="L100" i="25"/>
  <c r="B100" i="25"/>
  <c r="T99" i="25"/>
  <c r="P99" i="25"/>
  <c r="X99" i="25" s="1"/>
  <c r="H99" i="25"/>
  <c r="D99" i="25"/>
  <c r="L99" i="25" s="1"/>
  <c r="N99" i="25" s="1"/>
  <c r="B99" i="25"/>
  <c r="Z98" i="25"/>
  <c r="X98" i="25"/>
  <c r="N98" i="25"/>
  <c r="L98" i="25"/>
  <c r="B98" i="25"/>
  <c r="X97" i="25"/>
  <c r="Z97" i="25" s="1"/>
  <c r="L97" i="25"/>
  <c r="N97" i="25" s="1"/>
  <c r="B97" i="25"/>
  <c r="Z96" i="25"/>
  <c r="X96" i="25"/>
  <c r="N96" i="25"/>
  <c r="L96" i="25"/>
  <c r="B96" i="25"/>
  <c r="T95" i="25"/>
  <c r="P95" i="25"/>
  <c r="X95" i="25" s="1"/>
  <c r="H95" i="25"/>
  <c r="D95" i="25"/>
  <c r="L95" i="25" s="1"/>
  <c r="N95" i="25" s="1"/>
  <c r="B95" i="25"/>
  <c r="Z94" i="25"/>
  <c r="X94" i="25"/>
  <c r="N94" i="25"/>
  <c r="L94" i="25"/>
  <c r="B94" i="25"/>
  <c r="T93" i="25"/>
  <c r="P93" i="25"/>
  <c r="X93" i="25" s="1"/>
  <c r="Z93" i="25" s="1"/>
  <c r="H93" i="25"/>
  <c r="D93" i="25"/>
  <c r="B93" i="25"/>
  <c r="Z92" i="25"/>
  <c r="X92" i="25"/>
  <c r="N92" i="25"/>
  <c r="L92" i="25"/>
  <c r="B92" i="25"/>
  <c r="T91" i="25"/>
  <c r="P91" i="25"/>
  <c r="L91" i="25"/>
  <c r="H91" i="25"/>
  <c r="N91" i="25" s="1"/>
  <c r="D91" i="25"/>
  <c r="B91" i="25"/>
  <c r="Z90" i="25"/>
  <c r="X90" i="25"/>
  <c r="N90" i="25"/>
  <c r="L90" i="25"/>
  <c r="B90" i="25"/>
  <c r="X89" i="25"/>
  <c r="Z89" i="25" s="1"/>
  <c r="L89" i="25"/>
  <c r="N89" i="25" s="1"/>
  <c r="B89" i="25"/>
  <c r="T88" i="25"/>
  <c r="P88" i="25"/>
  <c r="X88" i="25" s="1"/>
  <c r="Z88" i="25" s="1"/>
  <c r="H88" i="25"/>
  <c r="D88" i="25"/>
  <c r="L88" i="25" s="1"/>
  <c r="B88" i="25"/>
  <c r="Z87" i="25"/>
  <c r="X87" i="25"/>
  <c r="L87" i="25"/>
  <c r="N87" i="25" s="1"/>
  <c r="B87" i="25"/>
  <c r="T86" i="25"/>
  <c r="Z86" i="25" s="1"/>
  <c r="P86" i="25"/>
  <c r="X86" i="25" s="1"/>
  <c r="N86" i="25"/>
  <c r="L86" i="25"/>
  <c r="H86" i="25"/>
  <c r="D86" i="25"/>
  <c r="B86" i="25"/>
  <c r="X85" i="25"/>
  <c r="Z85" i="25" s="1"/>
  <c r="N85" i="25"/>
  <c r="L85" i="25"/>
  <c r="B85" i="25"/>
  <c r="Z84" i="25"/>
  <c r="X84" i="25"/>
  <c r="T84" i="25"/>
  <c r="P84" i="25"/>
  <c r="H84" i="25"/>
  <c r="N84" i="25" s="1"/>
  <c r="D84" i="25"/>
  <c r="B84" i="25"/>
  <c r="Z83" i="25"/>
  <c r="X83" i="25"/>
  <c r="N83" i="25"/>
  <c r="L83" i="25"/>
  <c r="B83" i="25"/>
  <c r="Z82" i="25"/>
  <c r="X82" i="25"/>
  <c r="N82" i="25"/>
  <c r="L82" i="25"/>
  <c r="B82" i="25"/>
  <c r="Z81" i="25"/>
  <c r="T81" i="25"/>
  <c r="P81" i="25"/>
  <c r="X81" i="25" s="1"/>
  <c r="H81" i="25"/>
  <c r="D81" i="25"/>
  <c r="B81" i="25"/>
  <c r="Z80" i="25"/>
  <c r="X80" i="25"/>
  <c r="N80" i="25"/>
  <c r="L80" i="25"/>
  <c r="B80" i="25"/>
  <c r="T79" i="25"/>
  <c r="P79" i="25"/>
  <c r="L79" i="25"/>
  <c r="H79" i="25"/>
  <c r="N79" i="25" s="1"/>
  <c r="D79" i="25"/>
  <c r="B79" i="25"/>
  <c r="X78" i="25"/>
  <c r="Z78" i="25" s="1"/>
  <c r="N78" i="25"/>
  <c r="L78" i="25"/>
  <c r="B78" i="25"/>
  <c r="X77" i="25"/>
  <c r="Z77" i="25" s="1"/>
  <c r="L77" i="25"/>
  <c r="N77" i="25" s="1"/>
  <c r="B77" i="25"/>
  <c r="Z76" i="25"/>
  <c r="X76" i="25"/>
  <c r="N76" i="25"/>
  <c r="L76" i="25"/>
  <c r="B76" i="25"/>
  <c r="X75" i="25"/>
  <c r="Z75" i="25" s="1"/>
  <c r="N75" i="25"/>
  <c r="L75" i="25"/>
  <c r="B75" i="25"/>
  <c r="Z74" i="25"/>
  <c r="X74" i="25"/>
  <c r="N74" i="25"/>
  <c r="L74" i="25"/>
  <c r="B74" i="25"/>
  <c r="X73" i="25"/>
  <c r="Z73" i="25" s="1"/>
  <c r="L73" i="25"/>
  <c r="N73" i="25" s="1"/>
  <c r="B73" i="25"/>
  <c r="Z72" i="25"/>
  <c r="X72" i="25"/>
  <c r="N72" i="25"/>
  <c r="L72" i="25"/>
  <c r="B72" i="25"/>
  <c r="T71" i="25"/>
  <c r="P71" i="25"/>
  <c r="H71" i="25"/>
  <c r="D71" i="25"/>
  <c r="L71" i="25" s="1"/>
  <c r="N71" i="25" s="1"/>
  <c r="B71" i="25"/>
  <c r="Z70" i="25"/>
  <c r="X70" i="25"/>
  <c r="N70" i="25"/>
  <c r="L70" i="25"/>
  <c r="B70" i="25"/>
  <c r="X69" i="25"/>
  <c r="Z69" i="25" s="1"/>
  <c r="L69" i="25"/>
  <c r="N69" i="25" s="1"/>
  <c r="B69" i="25"/>
  <c r="Z68" i="25"/>
  <c r="X68" i="25"/>
  <c r="N68" i="25"/>
  <c r="L68" i="25"/>
  <c r="B68" i="25"/>
  <c r="Z67" i="25"/>
  <c r="X67" i="25"/>
  <c r="L67" i="25"/>
  <c r="N67" i="25" s="1"/>
  <c r="B67" i="25"/>
  <c r="Z66" i="25"/>
  <c r="X66" i="25"/>
  <c r="N66" i="25"/>
  <c r="L66" i="25"/>
  <c r="B66" i="25"/>
  <c r="X65" i="25"/>
  <c r="Z65" i="25" s="1"/>
  <c r="L65" i="25"/>
  <c r="N65" i="25" s="1"/>
  <c r="B65" i="25"/>
  <c r="Z64" i="25"/>
  <c r="X64" i="25"/>
  <c r="N64" i="25"/>
  <c r="L64" i="25"/>
  <c r="B64" i="25"/>
  <c r="X63" i="25"/>
  <c r="Z63" i="25" s="1"/>
  <c r="N63" i="25"/>
  <c r="L63" i="25"/>
  <c r="B63" i="25"/>
  <c r="Z62" i="25"/>
  <c r="X62" i="25"/>
  <c r="N62" i="25"/>
  <c r="L62" i="25"/>
  <c r="B62" i="25"/>
  <c r="T61" i="25"/>
  <c r="P61" i="25"/>
  <c r="X61" i="25" s="1"/>
  <c r="Z61" i="25" s="1"/>
  <c r="H61" i="25"/>
  <c r="D61" i="25"/>
  <c r="B61" i="25"/>
  <c r="Z60" i="25"/>
  <c r="T60" i="25" a="1"/>
  <c r="T60" i="25"/>
  <c r="P60" i="25" a="1"/>
  <c r="P60" i="25" s="1"/>
  <c r="X60" i="25" s="1"/>
  <c r="N60" i="25"/>
  <c r="H60" i="25" a="1"/>
  <c r="H60" i="25"/>
  <c r="D60" i="25" a="1"/>
  <c r="D60" i="25" s="1"/>
  <c r="L60" i="25" s="1"/>
  <c r="Z56" i="25"/>
  <c r="X56" i="25"/>
  <c r="N56" i="25"/>
  <c r="L56" i="25"/>
  <c r="B56" i="25"/>
  <c r="Z55" i="25"/>
  <c r="X55" i="25"/>
  <c r="N55" i="25"/>
  <c r="L55" i="25"/>
  <c r="B55" i="25"/>
  <c r="Z54" i="25"/>
  <c r="X54" i="25"/>
  <c r="L54" i="25"/>
  <c r="N54" i="25" s="1"/>
  <c r="B54" i="25"/>
  <c r="X53" i="25"/>
  <c r="Z53" i="25" s="1"/>
  <c r="L53" i="25"/>
  <c r="N53" i="25" s="1"/>
  <c r="B53" i="25"/>
  <c r="Z52" i="25"/>
  <c r="X52" i="25"/>
  <c r="N52" i="25"/>
  <c r="L52" i="25"/>
  <c r="B52" i="25"/>
  <c r="Z51" i="25"/>
  <c r="X51" i="25"/>
  <c r="N51" i="25"/>
  <c r="L51" i="25"/>
  <c r="B51" i="25"/>
  <c r="X50" i="25"/>
  <c r="Z50" i="25" s="1"/>
  <c r="N50" i="25"/>
  <c r="L50" i="25"/>
  <c r="B50" i="25"/>
  <c r="X49" i="25"/>
  <c r="Z49" i="25" s="1"/>
  <c r="L49" i="25"/>
  <c r="N49" i="25" s="1"/>
  <c r="B49" i="25"/>
  <c r="Z48" i="25"/>
  <c r="X48" i="25"/>
  <c r="N48" i="25"/>
  <c r="L48" i="25"/>
  <c r="B48" i="25"/>
  <c r="Z47" i="25"/>
  <c r="X47" i="25"/>
  <c r="L47" i="25"/>
  <c r="N47" i="25" s="1"/>
  <c r="B47" i="25"/>
  <c r="Z46" i="25"/>
  <c r="X46" i="25"/>
  <c r="L46" i="25"/>
  <c r="N46" i="25" s="1"/>
  <c r="B46" i="25"/>
  <c r="X45" i="25"/>
  <c r="Z45" i="25" s="1"/>
  <c r="N45" i="25"/>
  <c r="L45" i="25"/>
  <c r="B45" i="25"/>
  <c r="Z44" i="25"/>
  <c r="X44" i="25"/>
  <c r="N44" i="25"/>
  <c r="L44" i="25"/>
  <c r="B44" i="25"/>
  <c r="X43" i="25"/>
  <c r="Z43" i="25" s="1"/>
  <c r="N43" i="25"/>
  <c r="L43" i="25"/>
  <c r="B43" i="25"/>
  <c r="X42" i="25"/>
  <c r="Z42" i="25" s="1"/>
  <c r="N42" i="25"/>
  <c r="L42" i="25"/>
  <c r="B42" i="25"/>
  <c r="X41" i="25"/>
  <c r="Z41" i="25" s="1"/>
  <c r="L41" i="25"/>
  <c r="N41" i="25" s="1"/>
  <c r="B41" i="25"/>
  <c r="Z40" i="25"/>
  <c r="X40" i="25"/>
  <c r="N40" i="25"/>
  <c r="L40" i="25"/>
  <c r="B40" i="25"/>
  <c r="T39" i="25"/>
  <c r="P39" i="25"/>
  <c r="H39" i="25"/>
  <c r="D39" i="25"/>
  <c r="L39" i="25" s="1"/>
  <c r="N39" i="25" s="1"/>
  <c r="T37" i="25"/>
  <c r="Z37" i="25" s="1"/>
  <c r="P37" i="25"/>
  <c r="X37" i="25" s="1"/>
  <c r="N37" i="25"/>
  <c r="H37" i="25"/>
  <c r="D37" i="25"/>
  <c r="L37" i="25" s="1"/>
  <c r="B37" i="25"/>
  <c r="T36" i="25"/>
  <c r="P36" i="25"/>
  <c r="H36" i="25"/>
  <c r="D36" i="25"/>
  <c r="B36" i="25"/>
  <c r="X35" i="25"/>
  <c r="Z35" i="25" s="1"/>
  <c r="T35" i="25"/>
  <c r="P35" i="25"/>
  <c r="L35" i="25"/>
  <c r="H35" i="25"/>
  <c r="D35" i="25"/>
  <c r="B35" i="25"/>
  <c r="Z34" i="25"/>
  <c r="X34" i="25"/>
  <c r="T34" i="25"/>
  <c r="P34" i="25"/>
  <c r="H34" i="25"/>
  <c r="D34" i="25"/>
  <c r="L34" i="25" s="1"/>
  <c r="N34" i="25" s="1"/>
  <c r="B34" i="25"/>
  <c r="Z33" i="25"/>
  <c r="T33" i="25"/>
  <c r="P33" i="25"/>
  <c r="X33" i="25" s="1"/>
  <c r="H33" i="25"/>
  <c r="N33" i="25" s="1"/>
  <c r="D33" i="25"/>
  <c r="L33" i="25" s="1"/>
  <c r="B33" i="25"/>
  <c r="T32" i="25"/>
  <c r="P32" i="25"/>
  <c r="H32" i="25"/>
  <c r="D32" i="25"/>
  <c r="B32" i="25"/>
  <c r="X31" i="25"/>
  <c r="T31" i="25"/>
  <c r="Z31" i="25" s="1"/>
  <c r="P31" i="25"/>
  <c r="L31" i="25"/>
  <c r="N31" i="25" s="1"/>
  <c r="H31" i="25"/>
  <c r="D31" i="25"/>
  <c r="B31" i="25"/>
  <c r="T30" i="25"/>
  <c r="P30" i="25"/>
  <c r="X30" i="25" s="1"/>
  <c r="Z30" i="25" s="1"/>
  <c r="N30" i="25"/>
  <c r="L30" i="25"/>
  <c r="H30" i="25"/>
  <c r="D30" i="25"/>
  <c r="B30" i="25"/>
  <c r="T29" i="25"/>
  <c r="Z29" i="25" s="1"/>
  <c r="P29" i="25"/>
  <c r="X29" i="25" s="1"/>
  <c r="H29" i="25"/>
  <c r="D29" i="25"/>
  <c r="L29" i="25" s="1"/>
  <c r="N29" i="25" s="1"/>
  <c r="B29" i="25"/>
  <c r="T28" i="25"/>
  <c r="Z28" i="25" s="1"/>
  <c r="P28" i="25"/>
  <c r="H28" i="25"/>
  <c r="N28" i="25" s="1"/>
  <c r="D28" i="25"/>
  <c r="B28" i="25"/>
  <c r="X27" i="25"/>
  <c r="Z27" i="25" s="1"/>
  <c r="T27" i="25"/>
  <c r="P27" i="25"/>
  <c r="L27" i="25"/>
  <c r="H27" i="25"/>
  <c r="N27" i="25" s="1"/>
  <c r="D27" i="25"/>
  <c r="B27" i="25"/>
  <c r="Z26" i="25"/>
  <c r="X26" i="25"/>
  <c r="T26" i="25"/>
  <c r="P26" i="25"/>
  <c r="H26" i="25"/>
  <c r="D26" i="25"/>
  <c r="L26" i="25" s="1"/>
  <c r="N26" i="25" s="1"/>
  <c r="B26" i="25"/>
  <c r="T25" i="25"/>
  <c r="P25" i="25"/>
  <c r="X25" i="25" s="1"/>
  <c r="Z25" i="25" s="1"/>
  <c r="H25" i="25"/>
  <c r="D25" i="25"/>
  <c r="L25" i="25" s="1"/>
  <c r="B25" i="25"/>
  <c r="T24" i="25"/>
  <c r="P24" i="25"/>
  <c r="X24" i="25" s="1"/>
  <c r="H24" i="25"/>
  <c r="N24" i="25" s="1"/>
  <c r="D24" i="25"/>
  <c r="B24" i="25"/>
  <c r="X23" i="25"/>
  <c r="T23" i="25"/>
  <c r="Z23" i="25" s="1"/>
  <c r="P23" i="25"/>
  <c r="L23" i="25"/>
  <c r="N23" i="25" s="1"/>
  <c r="H23" i="25"/>
  <c r="D23" i="25"/>
  <c r="B23" i="25"/>
  <c r="T22" i="25"/>
  <c r="P22" i="25"/>
  <c r="X22" i="25" s="1"/>
  <c r="Z22" i="25" s="1"/>
  <c r="N22" i="25"/>
  <c r="L22" i="25"/>
  <c r="H22" i="25"/>
  <c r="D22" i="25"/>
  <c r="B22" i="25"/>
  <c r="T21" i="25"/>
  <c r="Z21" i="25" s="1"/>
  <c r="P21" i="25"/>
  <c r="X21" i="25" s="1"/>
  <c r="H21" i="25"/>
  <c r="D21" i="25"/>
  <c r="L21" i="25" s="1"/>
  <c r="N21" i="25" s="1"/>
  <c r="B21" i="25"/>
  <c r="T20" i="25"/>
  <c r="P20" i="25"/>
  <c r="H20" i="25"/>
  <c r="D20" i="25"/>
  <c r="L20" i="25" s="1"/>
  <c r="B20" i="25"/>
  <c r="X19" i="25"/>
  <c r="Z19" i="25" s="1"/>
  <c r="T19" i="25"/>
  <c r="P19" i="25"/>
  <c r="L19" i="25"/>
  <c r="H19" i="25"/>
  <c r="D19" i="25"/>
  <c r="B19" i="25"/>
  <c r="Z18" i="25"/>
  <c r="X18" i="25"/>
  <c r="T18" i="25"/>
  <c r="P18" i="25"/>
  <c r="N18" i="25"/>
  <c r="H18" i="25"/>
  <c r="D18" i="25"/>
  <c r="L18" i="25" s="1"/>
  <c r="B18" i="25"/>
  <c r="T17" i="25"/>
  <c r="P17" i="25"/>
  <c r="X17" i="25" s="1"/>
  <c r="Z17" i="25" s="1"/>
  <c r="H17" i="25"/>
  <c r="N17" i="25" s="1"/>
  <c r="D17" i="25"/>
  <c r="L17" i="25" s="1"/>
  <c r="B17" i="25"/>
  <c r="T16" i="25"/>
  <c r="P16" i="25"/>
  <c r="H16" i="25"/>
  <c r="D16" i="25"/>
  <c r="B16" i="25"/>
  <c r="X15" i="25"/>
  <c r="T15" i="25"/>
  <c r="Z15" i="25" s="1"/>
  <c r="P15" i="25"/>
  <c r="L15" i="25"/>
  <c r="N15" i="25" s="1"/>
  <c r="H15" i="25"/>
  <c r="D15" i="25"/>
  <c r="B15" i="25"/>
  <c r="Z14" i="25"/>
  <c r="T14" i="25"/>
  <c r="P14" i="25"/>
  <c r="X14" i="25" s="1"/>
  <c r="N14" i="25"/>
  <c r="L14" i="25"/>
  <c r="H14" i="25"/>
  <c r="D14" i="25"/>
  <c r="B14" i="25"/>
  <c r="T13" i="25"/>
  <c r="Z13" i="25" s="1"/>
  <c r="P13" i="25"/>
  <c r="X13" i="25" s="1"/>
  <c r="H13" i="25"/>
  <c r="D13" i="25"/>
  <c r="B13" i="25"/>
  <c r="D4" i="25"/>
  <c r="B39" i="24"/>
  <c r="B38" i="24"/>
  <c r="T34" i="24"/>
  <c r="Z34" i="24" s="1"/>
  <c r="P34" i="24"/>
  <c r="H34" i="24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N24" i="24" s="1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20" i="24" s="1"/>
  <c r="P12" i="24"/>
  <c r="H12" i="24"/>
  <c r="J20" i="24" s="1"/>
  <c r="D12" i="24"/>
  <c r="F34" i="24" s="1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P20" i="23"/>
  <c r="H20" i="23"/>
  <c r="N20" i="23" s="1"/>
  <c r="D20" i="23"/>
  <c r="T16" i="23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P13" i="23"/>
  <c r="H13" i="23"/>
  <c r="N13" i="23" s="1"/>
  <c r="D13" i="23"/>
  <c r="B13" i="23"/>
  <c r="T12" i="23"/>
  <c r="V22" i="23" s="1"/>
  <c r="P12" i="23"/>
  <c r="R25" i="23" s="1"/>
  <c r="H12" i="23"/>
  <c r="J24" i="23" s="1"/>
  <c r="D12" i="23"/>
  <c r="F22" i="23" s="1"/>
  <c r="D5" i="23"/>
  <c r="D4" i="23"/>
  <c r="B39" i="22"/>
  <c r="B38" i="22"/>
  <c r="T34" i="22"/>
  <c r="Z34" i="22" s="1"/>
  <c r="P34" i="22"/>
  <c r="H34" i="22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7" i="22" s="1"/>
  <c r="P12" i="22"/>
  <c r="H12" i="22"/>
  <c r="J16" i="22" s="1"/>
  <c r="D12" i="22"/>
  <c r="F18" i="22" s="1"/>
  <c r="D5" i="22"/>
  <c r="D4" i="22"/>
  <c r="Z97" i="21"/>
  <c r="X97" i="21"/>
  <c r="L97" i="21"/>
  <c r="N97" i="21" s="1"/>
  <c r="T93" i="21"/>
  <c r="Z93" i="21" s="1"/>
  <c r="P93" i="21"/>
  <c r="H93" i="21"/>
  <c r="N93" i="21" s="1"/>
  <c r="D93" i="21"/>
  <c r="Z91" i="21"/>
  <c r="X91" i="21"/>
  <c r="L91" i="21"/>
  <c r="N91" i="21" s="1"/>
  <c r="B91" i="21"/>
  <c r="X90" i="21"/>
  <c r="T90" i="21"/>
  <c r="P90" i="21"/>
  <c r="H90" i="21"/>
  <c r="D90" i="21"/>
  <c r="B90" i="21"/>
  <c r="Z89" i="21"/>
  <c r="X89" i="21"/>
  <c r="N89" i="21"/>
  <c r="L89" i="21"/>
  <c r="B89" i="21"/>
  <c r="T88" i="21"/>
  <c r="Z88" i="21" s="1"/>
  <c r="P88" i="21"/>
  <c r="N88" i="21"/>
  <c r="H88" i="21"/>
  <c r="D88" i="21"/>
  <c r="L88" i="21" s="1"/>
  <c r="B88" i="21"/>
  <c r="Z87" i="21"/>
  <c r="X87" i="21"/>
  <c r="N87" i="21"/>
  <c r="L87" i="21"/>
  <c r="B87" i="21"/>
  <c r="T86" i="21"/>
  <c r="P86" i="21"/>
  <c r="X86" i="21" s="1"/>
  <c r="Z86" i="21" s="1"/>
  <c r="L86" i="21"/>
  <c r="H86" i="21"/>
  <c r="D86" i="21"/>
  <c r="B86" i="21"/>
  <c r="Z85" i="21"/>
  <c r="X85" i="21"/>
  <c r="N85" i="21"/>
  <c r="L85" i="21"/>
  <c r="B85" i="21"/>
  <c r="Z84" i="21"/>
  <c r="X84" i="21"/>
  <c r="N84" i="21"/>
  <c r="L84" i="21"/>
  <c r="B84" i="21"/>
  <c r="Z83" i="21"/>
  <c r="X83" i="21"/>
  <c r="N83" i="21"/>
  <c r="L83" i="21"/>
  <c r="B83" i="21"/>
  <c r="Z82" i="21"/>
  <c r="X82" i="21"/>
  <c r="N82" i="21"/>
  <c r="L82" i="21"/>
  <c r="B82" i="21"/>
  <c r="X81" i="21"/>
  <c r="Z81" i="21" s="1"/>
  <c r="N81" i="21"/>
  <c r="L81" i="21"/>
  <c r="B81" i="21"/>
  <c r="Z80" i="21"/>
  <c r="X80" i="21"/>
  <c r="N80" i="21"/>
  <c r="L80" i="21"/>
  <c r="B80" i="21"/>
  <c r="T79" i="21"/>
  <c r="P79" i="21"/>
  <c r="N79" i="21"/>
  <c r="L79" i="21"/>
  <c r="H79" i="21"/>
  <c r="D79" i="21"/>
  <c r="B79" i="21"/>
  <c r="Z78" i="21"/>
  <c r="X78" i="21"/>
  <c r="N78" i="21"/>
  <c r="L78" i="21"/>
  <c r="B78" i="21"/>
  <c r="Z77" i="21"/>
  <c r="X77" i="21"/>
  <c r="N77" i="21"/>
  <c r="L77" i="21"/>
  <c r="B77" i="21"/>
  <c r="Z76" i="21"/>
  <c r="X76" i="21"/>
  <c r="N76" i="21"/>
  <c r="L76" i="21"/>
  <c r="B76" i="21"/>
  <c r="Z75" i="21"/>
  <c r="X75" i="21"/>
  <c r="N75" i="21"/>
  <c r="L75" i="21"/>
  <c r="B75" i="21"/>
  <c r="X74" i="21"/>
  <c r="T74" i="21"/>
  <c r="P74" i="21"/>
  <c r="H74" i="21"/>
  <c r="D74" i="21"/>
  <c r="L74" i="21" s="1"/>
  <c r="B74" i="21"/>
  <c r="Z73" i="21"/>
  <c r="X73" i="21"/>
  <c r="N73" i="21"/>
  <c r="L73" i="21"/>
  <c r="B73" i="21"/>
  <c r="T72" i="21"/>
  <c r="P72" i="21"/>
  <c r="N72" i="21"/>
  <c r="L72" i="21"/>
  <c r="H72" i="21"/>
  <c r="D72" i="21"/>
  <c r="B72" i="21"/>
  <c r="Z71" i="21"/>
  <c r="X71" i="21"/>
  <c r="N71" i="21"/>
  <c r="L71" i="21"/>
  <c r="B71" i="21"/>
  <c r="Z70" i="21"/>
  <c r="X70" i="21"/>
  <c r="N70" i="21"/>
  <c r="L70" i="21"/>
  <c r="B70" i="21"/>
  <c r="T69" i="21"/>
  <c r="P69" i="21"/>
  <c r="X69" i="21" s="1"/>
  <c r="Z69" i="21" s="1"/>
  <c r="L69" i="21"/>
  <c r="H69" i="21"/>
  <c r="N69" i="21" s="1"/>
  <c r="D69" i="21"/>
  <c r="B69" i="21"/>
  <c r="X68" i="21"/>
  <c r="Z68" i="21" s="1"/>
  <c r="N68" i="21"/>
  <c r="L68" i="21"/>
  <c r="B68" i="21"/>
  <c r="X67" i="21"/>
  <c r="T67" i="21"/>
  <c r="P67" i="21"/>
  <c r="H67" i="21"/>
  <c r="D67" i="21"/>
  <c r="B67" i="21"/>
  <c r="X66" i="21"/>
  <c r="Z66" i="21" s="1"/>
  <c r="N66" i="21"/>
  <c r="L66" i="21"/>
  <c r="B66" i="21"/>
  <c r="Z65" i="21"/>
  <c r="X65" i="21"/>
  <c r="T65" i="21"/>
  <c r="P65" i="21"/>
  <c r="H65" i="21"/>
  <c r="D65" i="21"/>
  <c r="L65" i="21" s="1"/>
  <c r="B65" i="21"/>
  <c r="Z64" i="21"/>
  <c r="X64" i="21"/>
  <c r="N64" i="21"/>
  <c r="L64" i="21"/>
  <c r="B64" i="21"/>
  <c r="T63" i="21"/>
  <c r="P63" i="21"/>
  <c r="X63" i="21" s="1"/>
  <c r="N63" i="21"/>
  <c r="L63" i="21"/>
  <c r="H63" i="21"/>
  <c r="D63" i="21"/>
  <c r="B63" i="21"/>
  <c r="X62" i="21"/>
  <c r="Z62" i="21" s="1"/>
  <c r="L62" i="21"/>
  <c r="N62" i="21" s="1"/>
  <c r="B62" i="21"/>
  <c r="T61" i="21"/>
  <c r="P61" i="21"/>
  <c r="X61" i="21" s="1"/>
  <c r="Z61" i="21" s="1"/>
  <c r="H61" i="21"/>
  <c r="D61" i="21"/>
  <c r="B61" i="21"/>
  <c r="X60" i="21"/>
  <c r="Z60" i="21" s="1"/>
  <c r="N60" i="21"/>
  <c r="L60" i="21"/>
  <c r="B60" i="21"/>
  <c r="X59" i="21"/>
  <c r="T59" i="21"/>
  <c r="Z59" i="21" s="1"/>
  <c r="P59" i="21"/>
  <c r="H59" i="21"/>
  <c r="D59" i="21"/>
  <c r="L59" i="21" s="1"/>
  <c r="N59" i="21" s="1"/>
  <c r="B59" i="21"/>
  <c r="X58" i="21"/>
  <c r="Z58" i="21" s="1"/>
  <c r="N58" i="21"/>
  <c r="L58" i="21"/>
  <c r="B58" i="21"/>
  <c r="Z57" i="21"/>
  <c r="X57" i="21"/>
  <c r="N57" i="21"/>
  <c r="L57" i="21"/>
  <c r="B57" i="21"/>
  <c r="T56" i="21"/>
  <c r="P56" i="21"/>
  <c r="H56" i="21"/>
  <c r="D56" i="21"/>
  <c r="L56" i="21" s="1"/>
  <c r="B56" i="21"/>
  <c r="Z55" i="21"/>
  <c r="X55" i="21"/>
  <c r="N55" i="21"/>
  <c r="L55" i="21"/>
  <c r="B55" i="21"/>
  <c r="X54" i="21"/>
  <c r="T54" i="21"/>
  <c r="P54" i="21"/>
  <c r="H54" i="21"/>
  <c r="D54" i="21"/>
  <c r="L54" i="21" s="1"/>
  <c r="B54" i="21"/>
  <c r="Z53" i="21"/>
  <c r="X53" i="21"/>
  <c r="N53" i="21"/>
  <c r="L53" i="21"/>
  <c r="B53" i="21"/>
  <c r="T52" i="21"/>
  <c r="P52" i="21"/>
  <c r="N52" i="21"/>
  <c r="L52" i="21"/>
  <c r="H52" i="21"/>
  <c r="D52" i="21"/>
  <c r="B52" i="21"/>
  <c r="Z51" i="21"/>
  <c r="X51" i="21"/>
  <c r="N51" i="21"/>
  <c r="L51" i="21"/>
  <c r="B51" i="21"/>
  <c r="Z50" i="21"/>
  <c r="T50" i="21"/>
  <c r="P50" i="21"/>
  <c r="X50" i="21" s="1"/>
  <c r="L50" i="21"/>
  <c r="H50" i="21"/>
  <c r="N50" i="21" s="1"/>
  <c r="D50" i="2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T43" i="21"/>
  <c r="P43" i="21"/>
  <c r="N43" i="21"/>
  <c r="H43" i="21"/>
  <c r="D43" i="21"/>
  <c r="L43" i="21" s="1"/>
  <c r="B43" i="21"/>
  <c r="X42" i="21"/>
  <c r="Z42" i="21" s="1"/>
  <c r="N42" i="21"/>
  <c r="L42" i="21"/>
  <c r="B42" i="21"/>
  <c r="X41" i="21"/>
  <c r="Z41" i="21" s="1"/>
  <c r="N41" i="21"/>
  <c r="L41" i="21"/>
  <c r="B41" i="21"/>
  <c r="Z40" i="21"/>
  <c r="X40" i="21"/>
  <c r="N40" i="21"/>
  <c r="L40" i="21"/>
  <c r="B40" i="21"/>
  <c r="Z39" i="21"/>
  <c r="X39" i="21"/>
  <c r="N39" i="21"/>
  <c r="L39" i="21"/>
  <c r="B39" i="21"/>
  <c r="X38" i="21"/>
  <c r="Z38" i="21" s="1"/>
  <c r="N38" i="21"/>
  <c r="L38" i="21"/>
  <c r="B38" i="21"/>
  <c r="Z37" i="21"/>
  <c r="X37" i="21"/>
  <c r="N37" i="21"/>
  <c r="L37" i="21"/>
  <c r="B37" i="21"/>
  <c r="X36" i="21"/>
  <c r="Z36" i="21" s="1"/>
  <c r="N36" i="21"/>
  <c r="L36" i="21"/>
  <c r="B36" i="21"/>
  <c r="X35" i="21"/>
  <c r="Z35" i="21" s="1"/>
  <c r="N35" i="21"/>
  <c r="L35" i="21"/>
  <c r="B35" i="21"/>
  <c r="Z34" i="21"/>
  <c r="X34" i="21"/>
  <c r="N34" i="21"/>
  <c r="L34" i="21"/>
  <c r="B34" i="21"/>
  <c r="T33" i="21"/>
  <c r="P33" i="21"/>
  <c r="X33" i="21" s="1"/>
  <c r="Z33" i="21" s="1"/>
  <c r="H33" i="21"/>
  <c r="D33" i="21"/>
  <c r="B33" i="21"/>
  <c r="T32" i="21" a="1"/>
  <c r="T32" i="21" s="1"/>
  <c r="P32" i="21" a="1"/>
  <c r="P32" i="21"/>
  <c r="H32" i="21" a="1"/>
  <c r="H32" i="21"/>
  <c r="D32" i="21" a="1"/>
  <c r="D32" i="21"/>
  <c r="L32" i="21" s="1"/>
  <c r="N32" i="21" s="1"/>
  <c r="Z28" i="21"/>
  <c r="X28" i="21"/>
  <c r="N28" i="21"/>
  <c r="L28" i="21"/>
  <c r="B28" i="21"/>
  <c r="X27" i="21"/>
  <c r="Z27" i="21" s="1"/>
  <c r="N27" i="21"/>
  <c r="L27" i="21"/>
  <c r="B27" i="21"/>
  <c r="Z26" i="21"/>
  <c r="X26" i="21"/>
  <c r="N26" i="21"/>
  <c r="L26" i="21"/>
  <c r="B26" i="21"/>
  <c r="T25" i="21"/>
  <c r="Z25" i="21" s="1"/>
  <c r="P25" i="21"/>
  <c r="X25" i="21" s="1"/>
  <c r="H25" i="21"/>
  <c r="D25" i="21"/>
  <c r="X23" i="21"/>
  <c r="Z23" i="21" s="1"/>
  <c r="T23" i="21"/>
  <c r="P23" i="21"/>
  <c r="L23" i="21"/>
  <c r="H23" i="21"/>
  <c r="N23" i="21" s="1"/>
  <c r="D23" i="21"/>
  <c r="B23" i="21"/>
  <c r="Z22" i="21"/>
  <c r="T22" i="21"/>
  <c r="P22" i="21"/>
  <c r="X22" i="21" s="1"/>
  <c r="L22" i="21"/>
  <c r="H22" i="21"/>
  <c r="N22" i="21" s="1"/>
  <c r="D22" i="21"/>
  <c r="B22" i="21"/>
  <c r="T21" i="21"/>
  <c r="Z21" i="21" s="1"/>
  <c r="P21" i="21"/>
  <c r="N21" i="21"/>
  <c r="H21" i="21"/>
  <c r="D21" i="21"/>
  <c r="L21" i="21" s="1"/>
  <c r="B21" i="21"/>
  <c r="T20" i="21"/>
  <c r="Z20" i="21" s="1"/>
  <c r="P20" i="21"/>
  <c r="X20" i="21" s="1"/>
  <c r="L20" i="21"/>
  <c r="H20" i="21"/>
  <c r="N20" i="21" s="1"/>
  <c r="D20" i="21"/>
  <c r="B20" i="21"/>
  <c r="T19" i="21"/>
  <c r="P19" i="21"/>
  <c r="N19" i="21"/>
  <c r="L19" i="21"/>
  <c r="H19" i="21"/>
  <c r="D19" i="21"/>
  <c r="B19" i="21"/>
  <c r="Z18" i="21"/>
  <c r="X18" i="21"/>
  <c r="T18" i="21"/>
  <c r="P18" i="21"/>
  <c r="N18" i="21"/>
  <c r="H18" i="21"/>
  <c r="D18" i="21"/>
  <c r="B18" i="21"/>
  <c r="Z17" i="21"/>
  <c r="X17" i="21"/>
  <c r="T17" i="21"/>
  <c r="P17" i="21"/>
  <c r="L17" i="21"/>
  <c r="H17" i="21"/>
  <c r="N17" i="21" s="1"/>
  <c r="D17" i="21"/>
  <c r="B17" i="21"/>
  <c r="Z16" i="21"/>
  <c r="X16" i="21"/>
  <c r="T16" i="21"/>
  <c r="P16" i="21"/>
  <c r="N16" i="21"/>
  <c r="H16" i="21"/>
  <c r="D16" i="21"/>
  <c r="L16" i="21" s="1"/>
  <c r="B16" i="21"/>
  <c r="Z15" i="21"/>
  <c r="T15" i="21"/>
  <c r="P15" i="21"/>
  <c r="X15" i="21" s="1"/>
  <c r="H15" i="21"/>
  <c r="N15" i="21" s="1"/>
  <c r="D15" i="21"/>
  <c r="L15" i="21" s="1"/>
  <c r="B15" i="21"/>
  <c r="T14" i="21"/>
  <c r="P14" i="21"/>
  <c r="H14" i="21"/>
  <c r="N14" i="21" s="1"/>
  <c r="D14" i="21"/>
  <c r="L14" i="21" s="1"/>
  <c r="B14" i="21"/>
  <c r="T13" i="21"/>
  <c r="Z13" i="21" s="1"/>
  <c r="P13" i="21"/>
  <c r="X13" i="21" s="1"/>
  <c r="H13" i="21"/>
  <c r="N13" i="21" s="1"/>
  <c r="D13" i="21"/>
  <c r="B13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R36" i="20" s="1"/>
  <c r="H12" i="20"/>
  <c r="J33" i="20" s="1"/>
  <c r="D12" i="20"/>
  <c r="F24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P15" i="19"/>
  <c r="H15" i="19"/>
  <c r="N15" i="19" s="1"/>
  <c r="D15" i="19"/>
  <c r="T13" i="19"/>
  <c r="P13" i="19"/>
  <c r="H13" i="19"/>
  <c r="N13" i="19" s="1"/>
  <c r="D13" i="19"/>
  <c r="B13" i="19"/>
  <c r="T12" i="19"/>
  <c r="P12" i="19"/>
  <c r="R20" i="19" s="1"/>
  <c r="H12" i="19"/>
  <c r="J21" i="19" s="1"/>
  <c r="D12" i="19"/>
  <c r="F24" i="19" s="1"/>
  <c r="D5" i="19"/>
  <c r="D4" i="19"/>
  <c r="X248" i="18"/>
  <c r="Z248" i="18" s="1"/>
  <c r="L248" i="18"/>
  <c r="N248" i="18" s="1"/>
  <c r="T244" i="18"/>
  <c r="P244" i="18"/>
  <c r="H244" i="18"/>
  <c r="D244" i="18"/>
  <c r="B244" i="18"/>
  <c r="Z243" i="18"/>
  <c r="X243" i="18"/>
  <c r="T243" i="18"/>
  <c r="P243" i="18"/>
  <c r="H243" i="18"/>
  <c r="D243" i="18"/>
  <c r="L243" i="18" s="1"/>
  <c r="N243" i="18" s="1"/>
  <c r="B243" i="18"/>
  <c r="X242" i="18"/>
  <c r="T242" i="18"/>
  <c r="P242" i="18"/>
  <c r="H242" i="18"/>
  <c r="D242" i="18"/>
  <c r="B242" i="18"/>
  <c r="T241" i="18"/>
  <c r="P241" i="18"/>
  <c r="N241" i="18"/>
  <c r="L241" i="18"/>
  <c r="H241" i="18"/>
  <c r="D241" i="18"/>
  <c r="B241" i="18"/>
  <c r="T240" i="18"/>
  <c r="Z240" i="18" s="1"/>
  <c r="P240" i="18"/>
  <c r="X240" i="18" s="1"/>
  <c r="L240" i="18"/>
  <c r="H240" i="18"/>
  <c r="N240" i="18" s="1"/>
  <c r="D240" i="18"/>
  <c r="B240" i="18"/>
  <c r="T239" i="18"/>
  <c r="P239" i="18"/>
  <c r="X239" i="18" s="1"/>
  <c r="Z239" i="18" s="1"/>
  <c r="H239" i="18"/>
  <c r="D239" i="18"/>
  <c r="B239" i="18"/>
  <c r="P238" i="18"/>
  <c r="X236" i="18"/>
  <c r="Z236" i="18" s="1"/>
  <c r="N236" i="18"/>
  <c r="L236" i="18"/>
  <c r="B236" i="18"/>
  <c r="Z235" i="18"/>
  <c r="T235" i="18"/>
  <c r="P235" i="18"/>
  <c r="X235" i="18" s="1"/>
  <c r="H235" i="18"/>
  <c r="D235" i="18"/>
  <c r="L235" i="18" s="1"/>
  <c r="N235" i="18" s="1"/>
  <c r="B235" i="18"/>
  <c r="X234" i="18"/>
  <c r="Z234" i="18" s="1"/>
  <c r="N234" i="18"/>
  <c r="L234" i="18"/>
  <c r="B234" i="18"/>
  <c r="Z233" i="18"/>
  <c r="X233" i="18"/>
  <c r="N233" i="18"/>
  <c r="L233" i="18"/>
  <c r="B233" i="18"/>
  <c r="X232" i="18"/>
  <c r="Z232" i="18" s="1"/>
  <c r="N232" i="18"/>
  <c r="L232" i="18"/>
  <c r="B232" i="18"/>
  <c r="Z231" i="18"/>
  <c r="T231" i="18"/>
  <c r="P231" i="18"/>
  <c r="X231" i="18" s="1"/>
  <c r="N231" i="18"/>
  <c r="H231" i="18"/>
  <c r="D231" i="18"/>
  <c r="L231" i="18" s="1"/>
  <c r="B231" i="18"/>
  <c r="X230" i="18"/>
  <c r="Z230" i="18" s="1"/>
  <c r="L230" i="18"/>
  <c r="N230" i="18" s="1"/>
  <c r="B230" i="18"/>
  <c r="T229" i="18"/>
  <c r="P229" i="18"/>
  <c r="X229" i="18" s="1"/>
  <c r="Z229" i="18" s="1"/>
  <c r="H229" i="18"/>
  <c r="D229" i="18"/>
  <c r="B229" i="18"/>
  <c r="Z228" i="18"/>
  <c r="X228" i="18"/>
  <c r="L228" i="18"/>
  <c r="N228" i="18" s="1"/>
  <c r="B228" i="18"/>
  <c r="Z227" i="18"/>
  <c r="X227" i="18"/>
  <c r="N227" i="18"/>
  <c r="L227" i="18"/>
  <c r="B227" i="18"/>
  <c r="T226" i="18"/>
  <c r="P226" i="18"/>
  <c r="H226" i="18"/>
  <c r="D226" i="18"/>
  <c r="L226" i="18" s="1"/>
  <c r="B226" i="18"/>
  <c r="Z225" i="18"/>
  <c r="X225" i="18"/>
  <c r="N225" i="18"/>
  <c r="L225" i="18"/>
  <c r="B225" i="18"/>
  <c r="Z224" i="18"/>
  <c r="X224" i="18"/>
  <c r="L224" i="18"/>
  <c r="N224" i="18" s="1"/>
  <c r="B224" i="18"/>
  <c r="Z223" i="18"/>
  <c r="X223" i="18"/>
  <c r="N223" i="18"/>
  <c r="L223" i="18"/>
  <c r="B223" i="18"/>
  <c r="X222" i="18"/>
  <c r="Z222" i="18" s="1"/>
  <c r="L222" i="18"/>
  <c r="N222" i="18" s="1"/>
  <c r="B222" i="18"/>
  <c r="Z221" i="18"/>
  <c r="X221" i="18"/>
  <c r="N221" i="18"/>
  <c r="L221" i="18"/>
  <c r="B221" i="18"/>
  <c r="X220" i="18"/>
  <c r="Z220" i="18" s="1"/>
  <c r="N220" i="18"/>
  <c r="L220" i="18"/>
  <c r="B220" i="18"/>
  <c r="Z219" i="18"/>
  <c r="X219" i="18"/>
  <c r="N219" i="18"/>
  <c r="L219" i="18"/>
  <c r="B219" i="18"/>
  <c r="T218" i="18"/>
  <c r="Z218" i="18" s="1"/>
  <c r="P218" i="18"/>
  <c r="X218" i="18" s="1"/>
  <c r="L218" i="18"/>
  <c r="H218" i="18"/>
  <c r="D218" i="18"/>
  <c r="B218" i="18"/>
  <c r="Z217" i="18"/>
  <c r="X217" i="18"/>
  <c r="N217" i="18"/>
  <c r="L217" i="18"/>
  <c r="B217" i="18"/>
  <c r="X216" i="18"/>
  <c r="Z216" i="18" s="1"/>
  <c r="N216" i="18"/>
  <c r="L216" i="18"/>
  <c r="B216" i="18"/>
  <c r="T215" i="18"/>
  <c r="P215" i="18"/>
  <c r="X215" i="18" s="1"/>
  <c r="Z215" i="18" s="1"/>
  <c r="H215" i="18"/>
  <c r="D215" i="18"/>
  <c r="L215" i="18" s="1"/>
  <c r="N215" i="18" s="1"/>
  <c r="B215" i="18"/>
  <c r="X214" i="18"/>
  <c r="Z214" i="18" s="1"/>
  <c r="L214" i="18"/>
  <c r="N214" i="18" s="1"/>
  <c r="B214" i="18"/>
  <c r="Z213" i="18"/>
  <c r="X213" i="18"/>
  <c r="N213" i="18"/>
  <c r="L213" i="18"/>
  <c r="B213" i="18"/>
  <c r="X212" i="18"/>
  <c r="Z212" i="18" s="1"/>
  <c r="N212" i="18"/>
  <c r="L212" i="18"/>
  <c r="B212" i="18"/>
  <c r="Z211" i="18"/>
  <c r="X211" i="18"/>
  <c r="N211" i="18"/>
  <c r="L211" i="18"/>
  <c r="B211" i="18"/>
  <c r="T210" i="18"/>
  <c r="Z210" i="18" s="1"/>
  <c r="P210" i="18"/>
  <c r="X210" i="18" s="1"/>
  <c r="L210" i="18"/>
  <c r="H210" i="18"/>
  <c r="D210" i="18"/>
  <c r="B210" i="18"/>
  <c r="Z209" i="18"/>
  <c r="X209" i="18"/>
  <c r="N209" i="18"/>
  <c r="L209" i="18"/>
  <c r="B209" i="18"/>
  <c r="Z208" i="18"/>
  <c r="X208" i="18"/>
  <c r="N208" i="18"/>
  <c r="L208" i="18"/>
  <c r="B208" i="18"/>
  <c r="Z207" i="18"/>
  <c r="X207" i="18"/>
  <c r="N207" i="18"/>
  <c r="L207" i="18"/>
  <c r="B207" i="18"/>
  <c r="T206" i="18"/>
  <c r="Z206" i="18" s="1"/>
  <c r="P206" i="18"/>
  <c r="X206" i="18" s="1"/>
  <c r="L206" i="18"/>
  <c r="H206" i="18"/>
  <c r="D206" i="18"/>
  <c r="B206" i="18"/>
  <c r="Z205" i="18"/>
  <c r="X205" i="18"/>
  <c r="N205" i="18"/>
  <c r="L205" i="18"/>
  <c r="B205" i="18"/>
  <c r="X204" i="18"/>
  <c r="Z204" i="18" s="1"/>
  <c r="N204" i="18"/>
  <c r="L204" i="18"/>
  <c r="B204" i="18"/>
  <c r="Z203" i="18"/>
  <c r="X203" i="18"/>
  <c r="N203" i="18"/>
  <c r="L203" i="18"/>
  <c r="B203" i="18"/>
  <c r="X202" i="18"/>
  <c r="Z202" i="18" s="1"/>
  <c r="L202" i="18"/>
  <c r="N202" i="18" s="1"/>
  <c r="B202" i="18"/>
  <c r="Z201" i="18"/>
  <c r="X201" i="18"/>
  <c r="T201" i="18"/>
  <c r="P201" i="18"/>
  <c r="H201" i="18"/>
  <c r="D201" i="18"/>
  <c r="L201" i="18" s="1"/>
  <c r="N201" i="18" s="1"/>
  <c r="B201" i="18"/>
  <c r="X200" i="18"/>
  <c r="Z200" i="18" s="1"/>
  <c r="N200" i="18"/>
  <c r="L200" i="18"/>
  <c r="B200" i="18"/>
  <c r="T199" i="18"/>
  <c r="P199" i="18"/>
  <c r="X199" i="18" s="1"/>
  <c r="Z199" i="18" s="1"/>
  <c r="H199" i="18"/>
  <c r="D199" i="18"/>
  <c r="L199" i="18" s="1"/>
  <c r="N199" i="18" s="1"/>
  <c r="B199" i="18"/>
  <c r="Z198" i="18"/>
  <c r="X198" i="18"/>
  <c r="N198" i="18"/>
  <c r="L198" i="18"/>
  <c r="B198" i="18"/>
  <c r="Z197" i="18"/>
  <c r="T197" i="18"/>
  <c r="P197" i="18"/>
  <c r="X197" i="18" s="1"/>
  <c r="H197" i="18"/>
  <c r="N197" i="18" s="1"/>
  <c r="D197" i="18"/>
  <c r="B197" i="18"/>
  <c r="Z196" i="18"/>
  <c r="X196" i="18"/>
  <c r="N196" i="18"/>
  <c r="L196" i="18"/>
  <c r="B196" i="18"/>
  <c r="Z195" i="18"/>
  <c r="X195" i="18"/>
  <c r="N195" i="18"/>
  <c r="L195" i="18"/>
  <c r="B195" i="18"/>
  <c r="T194" i="18"/>
  <c r="P194" i="18"/>
  <c r="H194" i="18"/>
  <c r="D194" i="18"/>
  <c r="L194" i="18" s="1"/>
  <c r="B194" i="18"/>
  <c r="Z193" i="18"/>
  <c r="X193" i="18"/>
  <c r="N193" i="18"/>
  <c r="L193" i="18"/>
  <c r="B193" i="18"/>
  <c r="T192" i="18"/>
  <c r="Z192" i="18" s="1"/>
  <c r="P192" i="18"/>
  <c r="X192" i="18" s="1"/>
  <c r="H192" i="18"/>
  <c r="D192" i="18"/>
  <c r="L192" i="18" s="1"/>
  <c r="B192" i="18"/>
  <c r="Z191" i="18"/>
  <c r="X191" i="18"/>
  <c r="N191" i="18"/>
  <c r="L191" i="18"/>
  <c r="B191" i="18"/>
  <c r="T190" i="18"/>
  <c r="P190" i="18"/>
  <c r="X190" i="18" s="1"/>
  <c r="L190" i="18"/>
  <c r="H190" i="18"/>
  <c r="N190" i="18" s="1"/>
  <c r="D190" i="18"/>
  <c r="B190" i="18"/>
  <c r="Z189" i="18"/>
  <c r="X189" i="18"/>
  <c r="N189" i="18"/>
  <c r="L189" i="18"/>
  <c r="B189" i="18"/>
  <c r="X188" i="18"/>
  <c r="Z188" i="18" s="1"/>
  <c r="N188" i="18"/>
  <c r="L188" i="18"/>
  <c r="B188" i="18"/>
  <c r="Z187" i="18"/>
  <c r="T187" i="18"/>
  <c r="P187" i="18"/>
  <c r="X187" i="18" s="1"/>
  <c r="J187" i="18"/>
  <c r="H187" i="18"/>
  <c r="D187" i="18"/>
  <c r="L187" i="18" s="1"/>
  <c r="N187" i="18" s="1"/>
  <c r="B187" i="18"/>
  <c r="X186" i="18"/>
  <c r="Z186" i="18" s="1"/>
  <c r="L186" i="18"/>
  <c r="N186" i="18" s="1"/>
  <c r="B186" i="18"/>
  <c r="T185" i="18"/>
  <c r="P185" i="18"/>
  <c r="X185" i="18" s="1"/>
  <c r="Z185" i="18" s="1"/>
  <c r="H185" i="18"/>
  <c r="D185" i="18"/>
  <c r="B185" i="18"/>
  <c r="Z184" i="18"/>
  <c r="X184" i="18"/>
  <c r="N184" i="18"/>
  <c r="L184" i="18"/>
  <c r="B184" i="18"/>
  <c r="T183" i="18"/>
  <c r="P183" i="18"/>
  <c r="N183" i="18"/>
  <c r="L183" i="18"/>
  <c r="H183" i="18"/>
  <c r="D183" i="18"/>
  <c r="B183" i="18"/>
  <c r="Z182" i="18"/>
  <c r="X182" i="18"/>
  <c r="N182" i="18"/>
  <c r="L182" i="18"/>
  <c r="B182" i="18"/>
  <c r="Z181" i="18"/>
  <c r="X181" i="18"/>
  <c r="T181" i="18"/>
  <c r="P181" i="18"/>
  <c r="N181" i="18"/>
  <c r="H181" i="18"/>
  <c r="D181" i="18"/>
  <c r="L181" i="18" s="1"/>
  <c r="B181" i="18"/>
  <c r="Z180" i="18"/>
  <c r="X180" i="18"/>
  <c r="N180" i="18"/>
  <c r="L180" i="18"/>
  <c r="B180" i="18"/>
  <c r="Z179" i="18"/>
  <c r="X179" i="18"/>
  <c r="N179" i="18"/>
  <c r="L179" i="18"/>
  <c r="B179" i="18"/>
  <c r="T178" i="18"/>
  <c r="Z178" i="18" s="1"/>
  <c r="P178" i="18"/>
  <c r="X178" i="18" s="1"/>
  <c r="L178" i="18"/>
  <c r="H178" i="18"/>
  <c r="D178" i="18"/>
  <c r="B178" i="18"/>
  <c r="Z177" i="18"/>
  <c r="X177" i="18"/>
  <c r="N177" i="18"/>
  <c r="L177" i="18"/>
  <c r="B177" i="18"/>
  <c r="X176" i="18"/>
  <c r="Z176" i="18" s="1"/>
  <c r="N176" i="18"/>
  <c r="L176" i="18"/>
  <c r="B176" i="18"/>
  <c r="T175" i="18"/>
  <c r="P175" i="18"/>
  <c r="X175" i="18" s="1"/>
  <c r="Z175" i="18" s="1"/>
  <c r="H175" i="18"/>
  <c r="D175" i="18"/>
  <c r="L175" i="18" s="1"/>
  <c r="N175" i="18" s="1"/>
  <c r="B175" i="18"/>
  <c r="X174" i="18"/>
  <c r="Z174" i="18" s="1"/>
  <c r="L174" i="18"/>
  <c r="N174" i="18" s="1"/>
  <c r="B174" i="18"/>
  <c r="T173" i="18"/>
  <c r="P173" i="18"/>
  <c r="X173" i="18" s="1"/>
  <c r="Z173" i="18" s="1"/>
  <c r="H173" i="18"/>
  <c r="D173" i="18"/>
  <c r="B173" i="18"/>
  <c r="Z172" i="18"/>
  <c r="X172" i="18"/>
  <c r="L172" i="18"/>
  <c r="N172" i="18" s="1"/>
  <c r="B172" i="18"/>
  <c r="Z171" i="18"/>
  <c r="X171" i="18"/>
  <c r="N171" i="18"/>
  <c r="L171" i="18"/>
  <c r="B171" i="18"/>
  <c r="T170" i="18"/>
  <c r="P170" i="18"/>
  <c r="H170" i="18"/>
  <c r="N170" i="18" s="1"/>
  <c r="D170" i="18"/>
  <c r="L170" i="18" s="1"/>
  <c r="B170" i="18"/>
  <c r="Z169" i="18"/>
  <c r="X169" i="18"/>
  <c r="N169" i="18"/>
  <c r="L169" i="18"/>
  <c r="J169" i="18"/>
  <c r="B169" i="18"/>
  <c r="T168" i="18"/>
  <c r="P168" i="18"/>
  <c r="X168" i="18" s="1"/>
  <c r="H168" i="18"/>
  <c r="N168" i="18" s="1"/>
  <c r="D168" i="18"/>
  <c r="L168" i="18" s="1"/>
  <c r="B168" i="18"/>
  <c r="Z167" i="18"/>
  <c r="X167" i="18"/>
  <c r="N167" i="18"/>
  <c r="L167" i="18"/>
  <c r="B167" i="18"/>
  <c r="X166" i="18"/>
  <c r="Z166" i="18" s="1"/>
  <c r="L166" i="18"/>
  <c r="N166" i="18" s="1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X162" i="18"/>
  <c r="Z162" i="18" s="1"/>
  <c r="R162" i="18"/>
  <c r="L162" i="18"/>
  <c r="N162" i="18" s="1"/>
  <c r="B162" i="18"/>
  <c r="Z161" i="18"/>
  <c r="X161" i="18"/>
  <c r="N161" i="18"/>
  <c r="L161" i="18"/>
  <c r="B161" i="18"/>
  <c r="X160" i="18"/>
  <c r="T160" i="18"/>
  <c r="P160" i="18"/>
  <c r="H160" i="18"/>
  <c r="D160" i="18"/>
  <c r="B160" i="18"/>
  <c r="Z159" i="18"/>
  <c r="X159" i="18"/>
  <c r="N159" i="18"/>
  <c r="L159" i="18"/>
  <c r="B159" i="18"/>
  <c r="X158" i="18"/>
  <c r="Z158" i="18" s="1"/>
  <c r="L158" i="18"/>
  <c r="N158" i="18" s="1"/>
  <c r="B158" i="18"/>
  <c r="Z157" i="18"/>
  <c r="X157" i="18"/>
  <c r="N157" i="18"/>
  <c r="L157" i="18"/>
  <c r="B157" i="18"/>
  <c r="X156" i="18"/>
  <c r="Z156" i="18" s="1"/>
  <c r="N156" i="18"/>
  <c r="L156" i="18"/>
  <c r="B156" i="18"/>
  <c r="Z155" i="18"/>
  <c r="X155" i="18"/>
  <c r="N155" i="18"/>
  <c r="L155" i="18"/>
  <c r="B155" i="18"/>
  <c r="X154" i="18"/>
  <c r="Z154" i="18" s="1"/>
  <c r="L154" i="18"/>
  <c r="N154" i="18" s="1"/>
  <c r="B154" i="18"/>
  <c r="Z153" i="18"/>
  <c r="X153" i="18"/>
  <c r="N153" i="18"/>
  <c r="L153" i="18"/>
  <c r="B153" i="18"/>
  <c r="Z152" i="18"/>
  <c r="X152" i="18"/>
  <c r="L152" i="18"/>
  <c r="N152" i="18" s="1"/>
  <c r="B152" i="18"/>
  <c r="Z151" i="18"/>
  <c r="X151" i="18"/>
  <c r="N151" i="18"/>
  <c r="L151" i="18"/>
  <c r="B151" i="18"/>
  <c r="X150" i="18"/>
  <c r="Z150" i="18" s="1"/>
  <c r="L150" i="18"/>
  <c r="N150" i="18" s="1"/>
  <c r="B150" i="18"/>
  <c r="T149" i="18"/>
  <c r="P149" i="18"/>
  <c r="X149" i="18" s="1"/>
  <c r="Z149" i="18" s="1"/>
  <c r="H149" i="18"/>
  <c r="D149" i="18"/>
  <c r="L149" i="18" s="1"/>
  <c r="B149" i="18"/>
  <c r="T148" i="18" a="1"/>
  <c r="T148" i="18" s="1"/>
  <c r="P148" i="18" a="1"/>
  <c r="P148" i="18"/>
  <c r="X148" i="18" s="1"/>
  <c r="H148" i="18" a="1"/>
  <c r="H148" i="18" s="1"/>
  <c r="D148" i="18" a="1"/>
  <c r="D148" i="18"/>
  <c r="Z144" i="18"/>
  <c r="X144" i="18"/>
  <c r="N144" i="18"/>
  <c r="L144" i="18"/>
  <c r="B144" i="18"/>
  <c r="Z143" i="18"/>
  <c r="X143" i="18"/>
  <c r="N143" i="18"/>
  <c r="L143" i="18"/>
  <c r="B143" i="18"/>
  <c r="X142" i="18"/>
  <c r="Z142" i="18" s="1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X136" i="18"/>
  <c r="Z136" i="18" s="1"/>
  <c r="N136" i="18"/>
  <c r="L136" i="18"/>
  <c r="B136" i="18"/>
  <c r="Z135" i="18"/>
  <c r="X135" i="18"/>
  <c r="N135" i="18"/>
  <c r="L135" i="18"/>
  <c r="B135" i="18"/>
  <c r="X134" i="18"/>
  <c r="Z134" i="18" s="1"/>
  <c r="L134" i="18"/>
  <c r="N134" i="18" s="1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X130" i="18"/>
  <c r="Z130" i="18" s="1"/>
  <c r="N130" i="18"/>
  <c r="L130" i="18"/>
  <c r="B130" i="18"/>
  <c r="Z129" i="18"/>
  <c r="X129" i="18"/>
  <c r="N129" i="18"/>
  <c r="L129" i="18"/>
  <c r="B129" i="18"/>
  <c r="X128" i="18"/>
  <c r="Z128" i="18" s="1"/>
  <c r="N128" i="18"/>
  <c r="L128" i="18"/>
  <c r="B128" i="18"/>
  <c r="Z127" i="18"/>
  <c r="X127" i="18"/>
  <c r="N127" i="18"/>
  <c r="L127" i="18"/>
  <c r="B127" i="18"/>
  <c r="X126" i="18"/>
  <c r="Z126" i="18" s="1"/>
  <c r="L126" i="18"/>
  <c r="N126" i="18" s="1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X122" i="18"/>
  <c r="Z122" i="18" s="1"/>
  <c r="L122" i="18"/>
  <c r="N122" i="18" s="1"/>
  <c r="B122" i="18"/>
  <c r="Z121" i="18"/>
  <c r="X121" i="18"/>
  <c r="N121" i="18"/>
  <c r="L121" i="18"/>
  <c r="B121" i="18"/>
  <c r="X120" i="18"/>
  <c r="Z120" i="18" s="1"/>
  <c r="N120" i="18"/>
  <c r="L120" i="18"/>
  <c r="B120" i="18"/>
  <c r="Z119" i="18"/>
  <c r="X119" i="18"/>
  <c r="N119" i="18"/>
  <c r="L119" i="18"/>
  <c r="B119" i="18"/>
  <c r="X118" i="18"/>
  <c r="Z118" i="18" s="1"/>
  <c r="L118" i="18"/>
  <c r="N118" i="18" s="1"/>
  <c r="B118" i="18"/>
  <c r="Z117" i="18"/>
  <c r="X117" i="18"/>
  <c r="N117" i="18"/>
  <c r="L117" i="18"/>
  <c r="B117" i="18"/>
  <c r="Z116" i="18"/>
  <c r="X116" i="18"/>
  <c r="L116" i="18"/>
  <c r="N116" i="18" s="1"/>
  <c r="B116" i="18"/>
  <c r="Z115" i="18"/>
  <c r="X115" i="18"/>
  <c r="N115" i="18"/>
  <c r="L115" i="18"/>
  <c r="B115" i="18"/>
  <c r="X114" i="18"/>
  <c r="Z114" i="18" s="1"/>
  <c r="N114" i="18"/>
  <c r="L114" i="18"/>
  <c r="B114" i="18"/>
  <c r="Z113" i="18"/>
  <c r="X113" i="18"/>
  <c r="N113" i="18"/>
  <c r="L113" i="18"/>
  <c r="B113" i="18"/>
  <c r="X112" i="18"/>
  <c r="Z112" i="18" s="1"/>
  <c r="N112" i="18"/>
  <c r="L112" i="18"/>
  <c r="B112" i="18"/>
  <c r="Z111" i="18"/>
  <c r="X111" i="18"/>
  <c r="N111" i="18"/>
  <c r="L111" i="18"/>
  <c r="B111" i="18"/>
  <c r="X110" i="18"/>
  <c r="Z110" i="18" s="1"/>
  <c r="L110" i="18"/>
  <c r="N110" i="18" s="1"/>
  <c r="B110" i="18"/>
  <c r="Z109" i="18"/>
  <c r="X109" i="18"/>
  <c r="N109" i="18"/>
  <c r="L109" i="18"/>
  <c r="J109" i="18"/>
  <c r="B109" i="18"/>
  <c r="Z108" i="18"/>
  <c r="X108" i="18"/>
  <c r="L108" i="18"/>
  <c r="N108" i="18" s="1"/>
  <c r="B108" i="18"/>
  <c r="Z107" i="18"/>
  <c r="X107" i="18"/>
  <c r="N107" i="18"/>
  <c r="L107" i="18"/>
  <c r="B107" i="18"/>
  <c r="X106" i="18"/>
  <c r="Z106" i="18" s="1"/>
  <c r="N106" i="18"/>
  <c r="L106" i="18"/>
  <c r="B106" i="18"/>
  <c r="Z105" i="18"/>
  <c r="X105" i="18"/>
  <c r="N105" i="18"/>
  <c r="L105" i="18"/>
  <c r="B105" i="18"/>
  <c r="X104" i="18"/>
  <c r="Z104" i="18" s="1"/>
  <c r="N104" i="18"/>
  <c r="L104" i="18"/>
  <c r="B104" i="18"/>
  <c r="Z103" i="18"/>
  <c r="X103" i="18"/>
  <c r="N103" i="18"/>
  <c r="L103" i="18"/>
  <c r="B103" i="18"/>
  <c r="X102" i="18"/>
  <c r="Z102" i="18" s="1"/>
  <c r="L102" i="18"/>
  <c r="N102" i="18" s="1"/>
  <c r="B102" i="18"/>
  <c r="Z101" i="18"/>
  <c r="X101" i="18"/>
  <c r="N101" i="18"/>
  <c r="L101" i="18"/>
  <c r="B101" i="18"/>
  <c r="Z100" i="18"/>
  <c r="X100" i="18"/>
  <c r="L100" i="18"/>
  <c r="N100" i="18" s="1"/>
  <c r="B100" i="18"/>
  <c r="Z99" i="18"/>
  <c r="X99" i="18"/>
  <c r="N99" i="18"/>
  <c r="L99" i="18"/>
  <c r="B99" i="18"/>
  <c r="X98" i="18"/>
  <c r="Z98" i="18" s="1"/>
  <c r="L98" i="18"/>
  <c r="N98" i="18" s="1"/>
  <c r="B98" i="18"/>
  <c r="Z97" i="18"/>
  <c r="X97" i="18"/>
  <c r="N97" i="18"/>
  <c r="L97" i="18"/>
  <c r="B97" i="18"/>
  <c r="Z96" i="18"/>
  <c r="X96" i="18"/>
  <c r="N96" i="18"/>
  <c r="L96" i="18"/>
  <c r="B96" i="18"/>
  <c r="Z95" i="18"/>
  <c r="T95" i="18"/>
  <c r="X95" i="18" s="1"/>
  <c r="P95" i="18"/>
  <c r="H95" i="18"/>
  <c r="D95" i="18"/>
  <c r="L95" i="18" s="1"/>
  <c r="N95" i="18" s="1"/>
  <c r="T93" i="18"/>
  <c r="Z93" i="18" s="1"/>
  <c r="P93" i="18"/>
  <c r="X93" i="18" s="1"/>
  <c r="N93" i="18"/>
  <c r="H93" i="18"/>
  <c r="D93" i="18"/>
  <c r="L93" i="18" s="1"/>
  <c r="B93" i="18"/>
  <c r="T92" i="18"/>
  <c r="P92" i="18"/>
  <c r="X92" i="18" s="1"/>
  <c r="L92" i="18"/>
  <c r="H92" i="18"/>
  <c r="N92" i="18" s="1"/>
  <c r="D92" i="18"/>
  <c r="B92" i="18"/>
  <c r="T91" i="18"/>
  <c r="P91" i="18"/>
  <c r="N91" i="18"/>
  <c r="L91" i="18"/>
  <c r="H91" i="18"/>
  <c r="D91" i="18"/>
  <c r="B91" i="18"/>
  <c r="X90" i="18"/>
  <c r="Z90" i="18" s="1"/>
  <c r="T90" i="18"/>
  <c r="P90" i="18"/>
  <c r="N90" i="18"/>
  <c r="H90" i="18"/>
  <c r="D90" i="18"/>
  <c r="L90" i="18" s="1"/>
  <c r="B90" i="18"/>
  <c r="T89" i="18"/>
  <c r="P89" i="18"/>
  <c r="X89" i="18" s="1"/>
  <c r="Z89" i="18" s="1"/>
  <c r="H89" i="18"/>
  <c r="N89" i="18" s="1"/>
  <c r="D89" i="18"/>
  <c r="L89" i="18" s="1"/>
  <c r="B89" i="18"/>
  <c r="X88" i="18"/>
  <c r="T88" i="18"/>
  <c r="Z88" i="18" s="1"/>
  <c r="P88" i="18"/>
  <c r="H88" i="18"/>
  <c r="D88" i="18"/>
  <c r="L88" i="18" s="1"/>
  <c r="B88" i="18"/>
  <c r="Z87" i="18"/>
  <c r="X87" i="18"/>
  <c r="T87" i="18"/>
  <c r="P87" i="18"/>
  <c r="H87" i="18"/>
  <c r="D87" i="18"/>
  <c r="B87" i="18"/>
  <c r="T86" i="18"/>
  <c r="P86" i="18"/>
  <c r="X86" i="18" s="1"/>
  <c r="Z86" i="18" s="1"/>
  <c r="L86" i="18"/>
  <c r="N86" i="18" s="1"/>
  <c r="H86" i="18"/>
  <c r="D86" i="18"/>
  <c r="B86" i="18"/>
  <c r="T85" i="18"/>
  <c r="Z85" i="18" s="1"/>
  <c r="P85" i="18"/>
  <c r="X85" i="18" s="1"/>
  <c r="N85" i="18"/>
  <c r="H85" i="18"/>
  <c r="D85" i="18"/>
  <c r="L85" i="18" s="1"/>
  <c r="B85" i="18"/>
  <c r="T84" i="18"/>
  <c r="Z84" i="18" s="1"/>
  <c r="P84" i="18"/>
  <c r="X84" i="18" s="1"/>
  <c r="L84" i="18"/>
  <c r="H84" i="18"/>
  <c r="N84" i="18" s="1"/>
  <c r="D84" i="18"/>
  <c r="B84" i="18"/>
  <c r="T83" i="18"/>
  <c r="P83" i="18"/>
  <c r="N83" i="18"/>
  <c r="L83" i="18"/>
  <c r="H83" i="18"/>
  <c r="D83" i="18"/>
  <c r="B83" i="18"/>
  <c r="X82" i="18"/>
  <c r="Z82" i="18" s="1"/>
  <c r="T82" i="18"/>
  <c r="P82" i="18"/>
  <c r="H82" i="18"/>
  <c r="D82" i="18"/>
  <c r="L82" i="18" s="1"/>
  <c r="N82" i="18" s="1"/>
  <c r="B82" i="18"/>
  <c r="Z81" i="18"/>
  <c r="T81" i="18"/>
  <c r="P81" i="18"/>
  <c r="X81" i="18" s="1"/>
  <c r="H81" i="18"/>
  <c r="N81" i="18" s="1"/>
  <c r="D81" i="18"/>
  <c r="L81" i="18" s="1"/>
  <c r="B81" i="18"/>
  <c r="X80" i="18"/>
  <c r="T80" i="18"/>
  <c r="Z80" i="18" s="1"/>
  <c r="P80" i="18"/>
  <c r="H80" i="18"/>
  <c r="N80" i="18" s="1"/>
  <c r="D80" i="18"/>
  <c r="L80" i="18" s="1"/>
  <c r="B80" i="18"/>
  <c r="Z79" i="18"/>
  <c r="X79" i="18"/>
  <c r="T79" i="18"/>
  <c r="P79" i="18"/>
  <c r="H79" i="18"/>
  <c r="D79" i="18"/>
  <c r="B79" i="18"/>
  <c r="T78" i="18"/>
  <c r="P78" i="18"/>
  <c r="X78" i="18" s="1"/>
  <c r="Z78" i="18" s="1"/>
  <c r="L78" i="18"/>
  <c r="N78" i="18" s="1"/>
  <c r="H78" i="18"/>
  <c r="D78" i="18"/>
  <c r="B78" i="18"/>
  <c r="T77" i="18"/>
  <c r="Z77" i="18" s="1"/>
  <c r="P77" i="18"/>
  <c r="X77" i="18" s="1"/>
  <c r="H77" i="18"/>
  <c r="D77" i="18"/>
  <c r="L77" i="18" s="1"/>
  <c r="N77" i="18" s="1"/>
  <c r="B77" i="18"/>
  <c r="T76" i="18"/>
  <c r="P76" i="18"/>
  <c r="X76" i="18" s="1"/>
  <c r="L76" i="18"/>
  <c r="H76" i="18"/>
  <c r="N76" i="18" s="1"/>
  <c r="D76" i="18"/>
  <c r="B76" i="18"/>
  <c r="T75" i="18"/>
  <c r="P75" i="18"/>
  <c r="N75" i="18"/>
  <c r="L75" i="18"/>
  <c r="H75" i="18"/>
  <c r="D75" i="18"/>
  <c r="B75" i="18"/>
  <c r="X74" i="18"/>
  <c r="Z74" i="18" s="1"/>
  <c r="T74" i="18"/>
  <c r="P74" i="18"/>
  <c r="H74" i="18"/>
  <c r="D74" i="18"/>
  <c r="L74" i="18" s="1"/>
  <c r="N74" i="18" s="1"/>
  <c r="B74" i="18"/>
  <c r="Z73" i="18"/>
  <c r="T73" i="18"/>
  <c r="P73" i="18"/>
  <c r="X73" i="18" s="1"/>
  <c r="H73" i="18"/>
  <c r="N73" i="18" s="1"/>
  <c r="D73" i="18"/>
  <c r="L73" i="18" s="1"/>
  <c r="B73" i="18"/>
  <c r="X72" i="18"/>
  <c r="T72" i="18"/>
  <c r="Z72" i="18" s="1"/>
  <c r="P72" i="18"/>
  <c r="H72" i="18"/>
  <c r="N72" i="18" s="1"/>
  <c r="D72" i="18"/>
  <c r="L72" i="18" s="1"/>
  <c r="B72" i="18"/>
  <c r="Z71" i="18"/>
  <c r="X71" i="18"/>
  <c r="T71" i="18"/>
  <c r="P71" i="18"/>
  <c r="H71" i="18"/>
  <c r="D71" i="18"/>
  <c r="B71" i="18"/>
  <c r="T70" i="18"/>
  <c r="P70" i="18"/>
  <c r="X70" i="18" s="1"/>
  <c r="Z70" i="18" s="1"/>
  <c r="L70" i="18"/>
  <c r="N70" i="18" s="1"/>
  <c r="H70" i="18"/>
  <c r="D70" i="18"/>
  <c r="B70" i="18"/>
  <c r="T69" i="18"/>
  <c r="Z69" i="18" s="1"/>
  <c r="P69" i="18"/>
  <c r="X69" i="18" s="1"/>
  <c r="N69" i="18"/>
  <c r="H69" i="18"/>
  <c r="D69" i="18"/>
  <c r="L69" i="18" s="1"/>
  <c r="B69" i="18"/>
  <c r="T68" i="18"/>
  <c r="Z68" i="18" s="1"/>
  <c r="P68" i="18"/>
  <c r="X68" i="18" s="1"/>
  <c r="L68" i="18"/>
  <c r="H68" i="18"/>
  <c r="N68" i="18" s="1"/>
  <c r="D68" i="18"/>
  <c r="B68" i="18"/>
  <c r="T67" i="18"/>
  <c r="P67" i="18"/>
  <c r="N67" i="18"/>
  <c r="L67" i="18"/>
  <c r="H67" i="18"/>
  <c r="D67" i="18"/>
  <c r="B67" i="18"/>
  <c r="Z66" i="18"/>
  <c r="X66" i="18"/>
  <c r="T66" i="18"/>
  <c r="P66" i="18"/>
  <c r="N66" i="18"/>
  <c r="H66" i="18"/>
  <c r="D66" i="18"/>
  <c r="L66" i="18" s="1"/>
  <c r="B66" i="18"/>
  <c r="T65" i="18"/>
  <c r="P65" i="18"/>
  <c r="X65" i="18" s="1"/>
  <c r="Z65" i="18" s="1"/>
  <c r="H65" i="18"/>
  <c r="N65" i="18" s="1"/>
  <c r="D65" i="18"/>
  <c r="L65" i="18" s="1"/>
  <c r="B65" i="18"/>
  <c r="X64" i="18"/>
  <c r="T64" i="18"/>
  <c r="Z64" i="18" s="1"/>
  <c r="P64" i="18"/>
  <c r="H64" i="18"/>
  <c r="D64" i="18"/>
  <c r="L64" i="18" s="1"/>
  <c r="B64" i="18"/>
  <c r="Z63" i="18"/>
  <c r="X63" i="18"/>
  <c r="T63" i="18"/>
  <c r="P63" i="18"/>
  <c r="H63" i="18"/>
  <c r="D63" i="18"/>
  <c r="B63" i="18"/>
  <c r="T62" i="18"/>
  <c r="P62" i="18"/>
  <c r="X62" i="18" s="1"/>
  <c r="Z62" i="18" s="1"/>
  <c r="L62" i="18"/>
  <c r="N62" i="18" s="1"/>
  <c r="H62" i="18"/>
  <c r="D62" i="18"/>
  <c r="B62" i="18"/>
  <c r="T61" i="18"/>
  <c r="P61" i="18"/>
  <c r="X61" i="18" s="1"/>
  <c r="H61" i="18"/>
  <c r="D61" i="18"/>
  <c r="L61" i="18" s="1"/>
  <c r="N61" i="18" s="1"/>
  <c r="B61" i="18"/>
  <c r="T60" i="18"/>
  <c r="Z60" i="18" s="1"/>
  <c r="P60" i="18"/>
  <c r="X60" i="18" s="1"/>
  <c r="L60" i="18"/>
  <c r="H60" i="18"/>
  <c r="N60" i="18" s="1"/>
  <c r="D60" i="18"/>
  <c r="B60" i="18"/>
  <c r="T59" i="18"/>
  <c r="P59" i="18"/>
  <c r="N59" i="18"/>
  <c r="L59" i="18"/>
  <c r="H59" i="18"/>
  <c r="D59" i="18"/>
  <c r="B59" i="18"/>
  <c r="X58" i="18"/>
  <c r="Z58" i="18" s="1"/>
  <c r="T58" i="18"/>
  <c r="P58" i="18"/>
  <c r="N58" i="18"/>
  <c r="H58" i="18"/>
  <c r="D58" i="18"/>
  <c r="L58" i="18" s="1"/>
  <c r="B58" i="18"/>
  <c r="T57" i="18"/>
  <c r="P57" i="18"/>
  <c r="X57" i="18" s="1"/>
  <c r="Z57" i="18" s="1"/>
  <c r="H57" i="18"/>
  <c r="D57" i="18"/>
  <c r="L57" i="18" s="1"/>
  <c r="B57" i="18"/>
  <c r="X56" i="18"/>
  <c r="T56" i="18"/>
  <c r="Z56" i="18" s="1"/>
  <c r="P56" i="18"/>
  <c r="H56" i="18"/>
  <c r="D56" i="18"/>
  <c r="L56" i="18" s="1"/>
  <c r="B56" i="18"/>
  <c r="Z55" i="18"/>
  <c r="X55" i="18"/>
  <c r="T55" i="18"/>
  <c r="P55" i="18"/>
  <c r="H55" i="18"/>
  <c r="D55" i="18"/>
  <c r="B55" i="18"/>
  <c r="T54" i="18"/>
  <c r="P54" i="18"/>
  <c r="X54" i="18" s="1"/>
  <c r="Z54" i="18" s="1"/>
  <c r="L54" i="18"/>
  <c r="N54" i="18" s="1"/>
  <c r="H54" i="18"/>
  <c r="D54" i="18"/>
  <c r="B54" i="18"/>
  <c r="T53" i="18"/>
  <c r="P53" i="18"/>
  <c r="X53" i="18" s="1"/>
  <c r="H53" i="18"/>
  <c r="D53" i="18"/>
  <c r="L53" i="18" s="1"/>
  <c r="N53" i="18" s="1"/>
  <c r="B53" i="18"/>
  <c r="T52" i="18"/>
  <c r="Z52" i="18" s="1"/>
  <c r="P52" i="18"/>
  <c r="X52" i="18" s="1"/>
  <c r="L52" i="18"/>
  <c r="H52" i="18"/>
  <c r="N52" i="18" s="1"/>
  <c r="D52" i="18"/>
  <c r="B52" i="18"/>
  <c r="T51" i="18"/>
  <c r="P51" i="18"/>
  <c r="N51" i="18"/>
  <c r="L51" i="18"/>
  <c r="H51" i="18"/>
  <c r="D51" i="18"/>
  <c r="B51" i="18"/>
  <c r="X50" i="18"/>
  <c r="Z50" i="18" s="1"/>
  <c r="T50" i="18"/>
  <c r="P50" i="18"/>
  <c r="N50" i="18"/>
  <c r="H50" i="18"/>
  <c r="D50" i="18"/>
  <c r="L50" i="18" s="1"/>
  <c r="B50" i="18"/>
  <c r="T49" i="18"/>
  <c r="P49" i="18"/>
  <c r="X49" i="18" s="1"/>
  <c r="Z49" i="18" s="1"/>
  <c r="H49" i="18"/>
  <c r="N49" i="18" s="1"/>
  <c r="D49" i="18"/>
  <c r="L49" i="18" s="1"/>
  <c r="B49" i="18"/>
  <c r="X48" i="18"/>
  <c r="T48" i="18"/>
  <c r="Z48" i="18" s="1"/>
  <c r="P48" i="18"/>
  <c r="H48" i="18"/>
  <c r="N48" i="18" s="1"/>
  <c r="D48" i="18"/>
  <c r="L48" i="18" s="1"/>
  <c r="B48" i="18"/>
  <c r="Z47" i="18"/>
  <c r="X47" i="18"/>
  <c r="T47" i="18"/>
  <c r="P47" i="18"/>
  <c r="H47" i="18"/>
  <c r="D47" i="18"/>
  <c r="B47" i="18"/>
  <c r="T46" i="18"/>
  <c r="P46" i="18"/>
  <c r="X46" i="18" s="1"/>
  <c r="Z46" i="18" s="1"/>
  <c r="L46" i="18"/>
  <c r="N46" i="18" s="1"/>
  <c r="H46" i="18"/>
  <c r="D46" i="18"/>
  <c r="B46" i="18"/>
  <c r="T45" i="18"/>
  <c r="Z45" i="18" s="1"/>
  <c r="P45" i="18"/>
  <c r="X45" i="18" s="1"/>
  <c r="N45" i="18"/>
  <c r="H45" i="18"/>
  <c r="D45" i="18"/>
  <c r="L45" i="18" s="1"/>
  <c r="B45" i="18"/>
  <c r="T44" i="18"/>
  <c r="Z44" i="18" s="1"/>
  <c r="P44" i="18"/>
  <c r="X44" i="18" s="1"/>
  <c r="L44" i="18"/>
  <c r="H44" i="18"/>
  <c r="N44" i="18" s="1"/>
  <c r="D44" i="18"/>
  <c r="B44" i="18"/>
  <c r="T43" i="18"/>
  <c r="P43" i="18"/>
  <c r="N43" i="18"/>
  <c r="L43" i="18"/>
  <c r="H43" i="18"/>
  <c r="D43" i="18"/>
  <c r="B43" i="18"/>
  <c r="X42" i="18"/>
  <c r="Z42" i="18" s="1"/>
  <c r="T42" i="18"/>
  <c r="P42" i="18"/>
  <c r="H42" i="18"/>
  <c r="D42" i="18"/>
  <c r="L42" i="18" s="1"/>
  <c r="N42" i="18" s="1"/>
  <c r="B42" i="18"/>
  <c r="Z41" i="18"/>
  <c r="T41" i="18"/>
  <c r="P41" i="18"/>
  <c r="X41" i="18" s="1"/>
  <c r="H41" i="18"/>
  <c r="N41" i="18" s="1"/>
  <c r="D41" i="18"/>
  <c r="L41" i="18" s="1"/>
  <c r="B41" i="18"/>
  <c r="X40" i="18"/>
  <c r="T40" i="18"/>
  <c r="Z40" i="18" s="1"/>
  <c r="P40" i="18"/>
  <c r="H40" i="18"/>
  <c r="D40" i="18"/>
  <c r="L40" i="18" s="1"/>
  <c r="B40" i="18"/>
  <c r="Z39" i="18"/>
  <c r="X39" i="18"/>
  <c r="T39" i="18"/>
  <c r="P39" i="18"/>
  <c r="H39" i="18"/>
  <c r="D39" i="18"/>
  <c r="B39" i="18"/>
  <c r="T38" i="18"/>
  <c r="P38" i="18"/>
  <c r="X38" i="18" s="1"/>
  <c r="Z38" i="18" s="1"/>
  <c r="L38" i="18"/>
  <c r="N38" i="18" s="1"/>
  <c r="H38" i="18"/>
  <c r="D38" i="18"/>
  <c r="B38" i="18"/>
  <c r="T37" i="18"/>
  <c r="P37" i="18"/>
  <c r="X37" i="18" s="1"/>
  <c r="H37" i="18"/>
  <c r="D37" i="18"/>
  <c r="L37" i="18" s="1"/>
  <c r="N37" i="18" s="1"/>
  <c r="B37" i="18"/>
  <c r="T36" i="18"/>
  <c r="Z36" i="18" s="1"/>
  <c r="P36" i="18"/>
  <c r="X36" i="18" s="1"/>
  <c r="L36" i="18"/>
  <c r="H36" i="18"/>
  <c r="N36" i="18" s="1"/>
  <c r="D36" i="18"/>
  <c r="B36" i="18"/>
  <c r="T35" i="18"/>
  <c r="P35" i="18"/>
  <c r="N35" i="18"/>
  <c r="L35" i="18"/>
  <c r="H35" i="18"/>
  <c r="D35" i="18"/>
  <c r="B35" i="18"/>
  <c r="X34" i="18"/>
  <c r="Z34" i="18" s="1"/>
  <c r="T34" i="18"/>
  <c r="P34" i="18"/>
  <c r="H34" i="18"/>
  <c r="D34" i="18"/>
  <c r="L34" i="18" s="1"/>
  <c r="N34" i="18" s="1"/>
  <c r="B34" i="18"/>
  <c r="Z33" i="18"/>
  <c r="T33" i="18"/>
  <c r="P33" i="18"/>
  <c r="X33" i="18" s="1"/>
  <c r="H33" i="18"/>
  <c r="N33" i="18" s="1"/>
  <c r="D33" i="18"/>
  <c r="L33" i="18" s="1"/>
  <c r="B33" i="18"/>
  <c r="X32" i="18"/>
  <c r="T32" i="18"/>
  <c r="Z32" i="18" s="1"/>
  <c r="P32" i="18"/>
  <c r="H32" i="18"/>
  <c r="N32" i="18" s="1"/>
  <c r="D32" i="18"/>
  <c r="L32" i="18" s="1"/>
  <c r="B32" i="18"/>
  <c r="Z31" i="18"/>
  <c r="X31" i="18"/>
  <c r="T31" i="18"/>
  <c r="P31" i="18"/>
  <c r="H31" i="18"/>
  <c r="D31" i="18"/>
  <c r="B31" i="18"/>
  <c r="T30" i="18"/>
  <c r="P30" i="18"/>
  <c r="X30" i="18" s="1"/>
  <c r="Z30" i="18" s="1"/>
  <c r="L30" i="18"/>
  <c r="N30" i="18" s="1"/>
  <c r="H30" i="18"/>
  <c r="D30" i="18"/>
  <c r="B30" i="18"/>
  <c r="T29" i="18"/>
  <c r="Z29" i="18" s="1"/>
  <c r="P29" i="18"/>
  <c r="X29" i="18" s="1"/>
  <c r="H29" i="18"/>
  <c r="D29" i="18"/>
  <c r="L29" i="18" s="1"/>
  <c r="N29" i="18" s="1"/>
  <c r="B29" i="18"/>
  <c r="T28" i="18"/>
  <c r="P28" i="18"/>
  <c r="X28" i="18" s="1"/>
  <c r="L28" i="18"/>
  <c r="H28" i="18"/>
  <c r="N28" i="18" s="1"/>
  <c r="D28" i="18"/>
  <c r="B28" i="18"/>
  <c r="T27" i="18"/>
  <c r="P27" i="18"/>
  <c r="N27" i="18"/>
  <c r="L27" i="18"/>
  <c r="H27" i="18"/>
  <c r="D27" i="18"/>
  <c r="B27" i="18"/>
  <c r="X26" i="18"/>
  <c r="Z26" i="18" s="1"/>
  <c r="T26" i="18"/>
  <c r="P26" i="18"/>
  <c r="H26" i="18"/>
  <c r="D26" i="18"/>
  <c r="L26" i="18" s="1"/>
  <c r="N26" i="18" s="1"/>
  <c r="B26" i="18"/>
  <c r="Z25" i="18"/>
  <c r="T25" i="18"/>
  <c r="P25" i="18"/>
  <c r="X25" i="18" s="1"/>
  <c r="H25" i="18"/>
  <c r="N25" i="18" s="1"/>
  <c r="D25" i="18"/>
  <c r="L25" i="18" s="1"/>
  <c r="B25" i="18"/>
  <c r="X24" i="18"/>
  <c r="T24" i="18"/>
  <c r="Z24" i="18" s="1"/>
  <c r="P24" i="18"/>
  <c r="H24" i="18"/>
  <c r="N24" i="18" s="1"/>
  <c r="D24" i="18"/>
  <c r="L24" i="18" s="1"/>
  <c r="B24" i="18"/>
  <c r="Z23" i="18"/>
  <c r="X23" i="18"/>
  <c r="T23" i="18"/>
  <c r="P23" i="18"/>
  <c r="H23" i="18"/>
  <c r="D23" i="18"/>
  <c r="B23" i="18"/>
  <c r="T22" i="18"/>
  <c r="P22" i="18"/>
  <c r="X22" i="18" s="1"/>
  <c r="Z22" i="18" s="1"/>
  <c r="L22" i="18"/>
  <c r="N22" i="18" s="1"/>
  <c r="H22" i="18"/>
  <c r="D22" i="18"/>
  <c r="B22" i="18"/>
  <c r="T21" i="18"/>
  <c r="Z21" i="18" s="1"/>
  <c r="P21" i="18"/>
  <c r="X21" i="18" s="1"/>
  <c r="N21" i="18"/>
  <c r="H21" i="18"/>
  <c r="D21" i="18"/>
  <c r="L21" i="18" s="1"/>
  <c r="B21" i="18"/>
  <c r="T20" i="18"/>
  <c r="Z20" i="18" s="1"/>
  <c r="P20" i="18"/>
  <c r="X20" i="18" s="1"/>
  <c r="L20" i="18"/>
  <c r="H20" i="18"/>
  <c r="N20" i="18" s="1"/>
  <c r="D20" i="18"/>
  <c r="B20" i="18"/>
  <c r="T19" i="18"/>
  <c r="P19" i="18"/>
  <c r="N19" i="18"/>
  <c r="L19" i="18"/>
  <c r="H19" i="18"/>
  <c r="D19" i="18"/>
  <c r="B19" i="18"/>
  <c r="X18" i="18"/>
  <c r="Z18" i="18" s="1"/>
  <c r="T18" i="18"/>
  <c r="P18" i="18"/>
  <c r="H18" i="18"/>
  <c r="D18" i="18"/>
  <c r="L18" i="18" s="1"/>
  <c r="N18" i="18" s="1"/>
  <c r="B18" i="18"/>
  <c r="T17" i="18"/>
  <c r="P17" i="18"/>
  <c r="X17" i="18" s="1"/>
  <c r="Z17" i="18" s="1"/>
  <c r="H17" i="18"/>
  <c r="N17" i="18" s="1"/>
  <c r="D17" i="18"/>
  <c r="L17" i="18" s="1"/>
  <c r="B17" i="18"/>
  <c r="X16" i="18"/>
  <c r="T16" i="18"/>
  <c r="Z16" i="18" s="1"/>
  <c r="P16" i="18"/>
  <c r="H16" i="18"/>
  <c r="N16" i="18" s="1"/>
  <c r="D16" i="18"/>
  <c r="L16" i="18" s="1"/>
  <c r="B16" i="18"/>
  <c r="Z15" i="18"/>
  <c r="X15" i="18"/>
  <c r="T15" i="18"/>
  <c r="P15" i="18"/>
  <c r="H15" i="18"/>
  <c r="D15" i="18"/>
  <c r="B15" i="18"/>
  <c r="T14" i="18"/>
  <c r="P14" i="18"/>
  <c r="X14" i="18" s="1"/>
  <c r="Z14" i="18" s="1"/>
  <c r="L14" i="18"/>
  <c r="N14" i="18" s="1"/>
  <c r="H14" i="18"/>
  <c r="D14" i="18"/>
  <c r="B14" i="18"/>
  <c r="T13" i="18"/>
  <c r="Z13" i="18" s="1"/>
  <c r="P13" i="18"/>
  <c r="X13" i="18" s="1"/>
  <c r="H13" i="18"/>
  <c r="H12" i="18" s="1"/>
  <c r="J199" i="18" s="1"/>
  <c r="D13" i="18"/>
  <c r="L13" i="18" s="1"/>
  <c r="N13" i="18" s="1"/>
  <c r="B13" i="18"/>
  <c r="P12" i="18"/>
  <c r="R138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18" i="17" s="1"/>
  <c r="P12" i="17"/>
  <c r="R27" i="17" s="1"/>
  <c r="H12" i="17"/>
  <c r="J22" i="17" s="1"/>
  <c r="D12" i="17"/>
  <c r="F18" i="17" s="1"/>
  <c r="D5" i="17"/>
  <c r="D4" i="17"/>
  <c r="B39" i="16"/>
  <c r="B38" i="16"/>
  <c r="T34" i="16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D21" i="16"/>
  <c r="B21" i="16"/>
  <c r="T20" i="16"/>
  <c r="Z20" i="16" s="1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4" i="16" s="1"/>
  <c r="P12" i="16"/>
  <c r="R34" i="16" s="1"/>
  <c r="H12" i="16"/>
  <c r="J36" i="16" s="1"/>
  <c r="D12" i="16"/>
  <c r="F21" i="16" s="1"/>
  <c r="D5" i="16"/>
  <c r="D4" i="16"/>
  <c r="Z224" i="15"/>
  <c r="X224" i="15"/>
  <c r="N224" i="15"/>
  <c r="L224" i="15"/>
  <c r="T220" i="15"/>
  <c r="P220" i="15"/>
  <c r="X220" i="15" s="1"/>
  <c r="Z220" i="15" s="1"/>
  <c r="N220" i="15"/>
  <c r="L220" i="15"/>
  <c r="H220" i="15"/>
  <c r="D220" i="15"/>
  <c r="B220" i="15"/>
  <c r="T219" i="15"/>
  <c r="Z219" i="15" s="1"/>
  <c r="P219" i="15"/>
  <c r="X219" i="15" s="1"/>
  <c r="L219" i="15"/>
  <c r="H219" i="15"/>
  <c r="N219" i="15" s="1"/>
  <c r="D219" i="15"/>
  <c r="B219" i="15"/>
  <c r="T218" i="15"/>
  <c r="P218" i="15"/>
  <c r="X218" i="15" s="1"/>
  <c r="Z218" i="15" s="1"/>
  <c r="H218" i="15"/>
  <c r="L218" i="15" s="1"/>
  <c r="N218" i="15" s="1"/>
  <c r="D218" i="15"/>
  <c r="B218" i="15"/>
  <c r="T217" i="15"/>
  <c r="P217" i="15"/>
  <c r="H217" i="15"/>
  <c r="D217" i="15"/>
  <c r="L217" i="15" s="1"/>
  <c r="B217" i="15"/>
  <c r="Z214" i="15"/>
  <c r="X214" i="15"/>
  <c r="N214" i="15"/>
  <c r="L214" i="15"/>
  <c r="B214" i="15"/>
  <c r="T213" i="15"/>
  <c r="P213" i="15"/>
  <c r="H213" i="15"/>
  <c r="N213" i="15" s="1"/>
  <c r="D213" i="15"/>
  <c r="L213" i="15" s="1"/>
  <c r="B213" i="15"/>
  <c r="Z212" i="15"/>
  <c r="X212" i="15"/>
  <c r="N212" i="15"/>
  <c r="L212" i="15"/>
  <c r="B212" i="15"/>
  <c r="Z211" i="15"/>
  <c r="X211" i="15"/>
  <c r="N211" i="15"/>
  <c r="L211" i="15"/>
  <c r="B211" i="15"/>
  <c r="Z210" i="15"/>
  <c r="X210" i="15"/>
  <c r="N210" i="15"/>
  <c r="L210" i="15"/>
  <c r="B210" i="15"/>
  <c r="T209" i="15"/>
  <c r="P209" i="15"/>
  <c r="H209" i="15"/>
  <c r="N209" i="15" s="1"/>
  <c r="D209" i="15"/>
  <c r="L209" i="15" s="1"/>
  <c r="B209" i="15"/>
  <c r="Z208" i="15"/>
  <c r="X208" i="15"/>
  <c r="N208" i="15"/>
  <c r="L208" i="15"/>
  <c r="B208" i="15"/>
  <c r="T207" i="15"/>
  <c r="Z207" i="15" s="1"/>
  <c r="P207" i="15"/>
  <c r="X207" i="15" s="1"/>
  <c r="H207" i="15"/>
  <c r="N207" i="15" s="1"/>
  <c r="D207" i="15"/>
  <c r="L207" i="15" s="1"/>
  <c r="B207" i="15"/>
  <c r="Z206" i="15"/>
  <c r="X206" i="15"/>
  <c r="N206" i="15"/>
  <c r="L206" i="15"/>
  <c r="B206" i="15"/>
  <c r="X205" i="15"/>
  <c r="Z205" i="15" s="1"/>
  <c r="L205" i="15"/>
  <c r="N205" i="15" s="1"/>
  <c r="B205" i="15"/>
  <c r="Z204" i="15"/>
  <c r="X204" i="15"/>
  <c r="T204" i="15"/>
  <c r="P204" i="15"/>
  <c r="N204" i="15"/>
  <c r="H204" i="15"/>
  <c r="L204" i="15" s="1"/>
  <c r="D204" i="15"/>
  <c r="B204" i="15"/>
  <c r="X203" i="15"/>
  <c r="Z203" i="15" s="1"/>
  <c r="N203" i="15"/>
  <c r="L203" i="15"/>
  <c r="B203" i="15"/>
  <c r="Z202" i="15"/>
  <c r="X202" i="15"/>
  <c r="N202" i="15"/>
  <c r="L202" i="15"/>
  <c r="B202" i="15"/>
  <c r="X201" i="15"/>
  <c r="Z201" i="15" s="1"/>
  <c r="N201" i="15"/>
  <c r="L201" i="15"/>
  <c r="B201" i="15"/>
  <c r="Z200" i="15"/>
  <c r="X200" i="15"/>
  <c r="N200" i="15"/>
  <c r="L200" i="15"/>
  <c r="B200" i="15"/>
  <c r="Z199" i="15"/>
  <c r="X199" i="15"/>
  <c r="N199" i="15"/>
  <c r="L199" i="15"/>
  <c r="B199" i="15"/>
  <c r="Z198" i="15"/>
  <c r="X198" i="15"/>
  <c r="N198" i="15"/>
  <c r="L198" i="15"/>
  <c r="B198" i="15"/>
  <c r="X197" i="15"/>
  <c r="Z197" i="15" s="1"/>
  <c r="N197" i="15"/>
  <c r="L197" i="15"/>
  <c r="B197" i="15"/>
  <c r="T196" i="15"/>
  <c r="P196" i="15"/>
  <c r="X196" i="15" s="1"/>
  <c r="Z196" i="15" s="1"/>
  <c r="H196" i="15"/>
  <c r="D196" i="15"/>
  <c r="L196" i="15" s="1"/>
  <c r="B196" i="15"/>
  <c r="Z195" i="15"/>
  <c r="X195" i="15"/>
  <c r="N195" i="15"/>
  <c r="L195" i="15"/>
  <c r="B195" i="15"/>
  <c r="Z194" i="15"/>
  <c r="X194" i="15"/>
  <c r="N194" i="15"/>
  <c r="L194" i="15"/>
  <c r="B194" i="15"/>
  <c r="T193" i="15"/>
  <c r="P193" i="15"/>
  <c r="H193" i="15"/>
  <c r="D193" i="15"/>
  <c r="L193" i="15" s="1"/>
  <c r="B193" i="15"/>
  <c r="Z192" i="15"/>
  <c r="X192" i="15"/>
  <c r="N192" i="15"/>
  <c r="L192" i="15"/>
  <c r="B192" i="15"/>
  <c r="Z191" i="15"/>
  <c r="X191" i="15"/>
  <c r="L191" i="15"/>
  <c r="N191" i="15" s="1"/>
  <c r="B191" i="15"/>
  <c r="Z190" i="15"/>
  <c r="X190" i="15"/>
  <c r="N190" i="15"/>
  <c r="L190" i="15"/>
  <c r="B190" i="15"/>
  <c r="X189" i="15"/>
  <c r="Z189" i="15" s="1"/>
  <c r="N189" i="15"/>
  <c r="L189" i="15"/>
  <c r="B189" i="15"/>
  <c r="Z188" i="15"/>
  <c r="T188" i="15"/>
  <c r="P188" i="15"/>
  <c r="X188" i="15" s="1"/>
  <c r="H188" i="15"/>
  <c r="N188" i="15" s="1"/>
  <c r="D188" i="15"/>
  <c r="L188" i="15" s="1"/>
  <c r="B188" i="15"/>
  <c r="Z187" i="15"/>
  <c r="X187" i="15"/>
  <c r="L187" i="15"/>
  <c r="N187" i="15" s="1"/>
  <c r="B187" i="15"/>
  <c r="Z186" i="15"/>
  <c r="X186" i="15"/>
  <c r="N186" i="15"/>
  <c r="L186" i="15"/>
  <c r="B186" i="15"/>
  <c r="X185" i="15"/>
  <c r="Z185" i="15" s="1"/>
  <c r="N185" i="15"/>
  <c r="L185" i="15"/>
  <c r="B185" i="15"/>
  <c r="T184" i="15"/>
  <c r="P184" i="15"/>
  <c r="X184" i="15" s="1"/>
  <c r="Z184" i="15" s="1"/>
  <c r="H184" i="15"/>
  <c r="D184" i="15"/>
  <c r="L184" i="15" s="1"/>
  <c r="B184" i="15"/>
  <c r="Z183" i="15"/>
  <c r="X183" i="15"/>
  <c r="L183" i="15"/>
  <c r="N183" i="15" s="1"/>
  <c r="B183" i="15"/>
  <c r="X182" i="15"/>
  <c r="Z182" i="15" s="1"/>
  <c r="N182" i="15"/>
  <c r="L182" i="15"/>
  <c r="B182" i="15"/>
  <c r="X181" i="15"/>
  <c r="Z181" i="15" s="1"/>
  <c r="L181" i="15"/>
  <c r="N181" i="15" s="1"/>
  <c r="B181" i="15"/>
  <c r="Z180" i="15"/>
  <c r="X180" i="15"/>
  <c r="N180" i="15"/>
  <c r="L180" i="15"/>
  <c r="B180" i="15"/>
  <c r="X179" i="15"/>
  <c r="T179" i="15"/>
  <c r="P179" i="15"/>
  <c r="H179" i="15"/>
  <c r="D179" i="15"/>
  <c r="B179" i="15"/>
  <c r="X178" i="15"/>
  <c r="Z178" i="15" s="1"/>
  <c r="N178" i="15"/>
  <c r="L178" i="15"/>
  <c r="B178" i="15"/>
  <c r="X177" i="15"/>
  <c r="T177" i="15"/>
  <c r="P177" i="15"/>
  <c r="H177" i="15"/>
  <c r="D177" i="15"/>
  <c r="B177" i="15"/>
  <c r="Z176" i="15"/>
  <c r="X176" i="15"/>
  <c r="N176" i="15"/>
  <c r="L176" i="15"/>
  <c r="B176" i="15"/>
  <c r="T175" i="15"/>
  <c r="Z175" i="15" s="1"/>
  <c r="P175" i="15"/>
  <c r="H175" i="15"/>
  <c r="N175" i="15" s="1"/>
  <c r="D175" i="15"/>
  <c r="L175" i="15" s="1"/>
  <c r="B175" i="15"/>
  <c r="Z174" i="15"/>
  <c r="X174" i="15"/>
  <c r="N174" i="15"/>
  <c r="L174" i="15"/>
  <c r="B174" i="15"/>
  <c r="X173" i="15"/>
  <c r="Z173" i="15" s="1"/>
  <c r="L173" i="15"/>
  <c r="N173" i="15" s="1"/>
  <c r="B173" i="15"/>
  <c r="Z172" i="15"/>
  <c r="X172" i="15"/>
  <c r="T172" i="15"/>
  <c r="P172" i="15"/>
  <c r="N172" i="15"/>
  <c r="H172" i="15"/>
  <c r="L172" i="15" s="1"/>
  <c r="D172" i="15"/>
  <c r="B172" i="15"/>
  <c r="X171" i="15"/>
  <c r="Z171" i="15" s="1"/>
  <c r="N171" i="15"/>
  <c r="L171" i="15"/>
  <c r="B171" i="15"/>
  <c r="T170" i="15"/>
  <c r="P170" i="15"/>
  <c r="X170" i="15" s="1"/>
  <c r="Z170" i="15" s="1"/>
  <c r="N170" i="15"/>
  <c r="H170" i="15"/>
  <c r="D170" i="15"/>
  <c r="L170" i="15" s="1"/>
  <c r="B170" i="15"/>
  <c r="X169" i="15"/>
  <c r="Z169" i="15" s="1"/>
  <c r="L169" i="15"/>
  <c r="N169" i="15" s="1"/>
  <c r="B169" i="15"/>
  <c r="T168" i="15"/>
  <c r="P168" i="15"/>
  <c r="X168" i="15" s="1"/>
  <c r="Z168" i="15" s="1"/>
  <c r="H168" i="15"/>
  <c r="D168" i="15"/>
  <c r="L168" i="15" s="1"/>
  <c r="B168" i="15"/>
  <c r="Z167" i="15"/>
  <c r="X167" i="15"/>
  <c r="L167" i="15"/>
  <c r="N167" i="15" s="1"/>
  <c r="B167" i="15"/>
  <c r="X166" i="15"/>
  <c r="Z166" i="15" s="1"/>
  <c r="N166" i="15"/>
  <c r="L166" i="15"/>
  <c r="B166" i="15"/>
  <c r="T165" i="15"/>
  <c r="P165" i="15"/>
  <c r="X165" i="15" s="1"/>
  <c r="H165" i="15"/>
  <c r="D165" i="15"/>
  <c r="L165" i="15" s="1"/>
  <c r="B165" i="15"/>
  <c r="Z164" i="15"/>
  <c r="X164" i="15"/>
  <c r="N164" i="15"/>
  <c r="L164" i="15"/>
  <c r="B164" i="15"/>
  <c r="T163" i="15"/>
  <c r="P163" i="15"/>
  <c r="L163" i="15"/>
  <c r="H163" i="15"/>
  <c r="D163" i="15"/>
  <c r="B163" i="15"/>
  <c r="Z162" i="15"/>
  <c r="X162" i="15"/>
  <c r="N162" i="15"/>
  <c r="L162" i="15"/>
  <c r="B162" i="15"/>
  <c r="X161" i="15"/>
  <c r="T161" i="15"/>
  <c r="P161" i="15"/>
  <c r="L161" i="15"/>
  <c r="H161" i="15"/>
  <c r="N161" i="15" s="1"/>
  <c r="D161" i="15"/>
  <c r="B161" i="15"/>
  <c r="Z160" i="15"/>
  <c r="X160" i="15"/>
  <c r="N160" i="15"/>
  <c r="L160" i="15"/>
  <c r="B160" i="15"/>
  <c r="X159" i="15"/>
  <c r="T159" i="15"/>
  <c r="Z159" i="15" s="1"/>
  <c r="P159" i="15"/>
  <c r="L159" i="15"/>
  <c r="H159" i="15"/>
  <c r="N159" i="15" s="1"/>
  <c r="D159" i="15"/>
  <c r="B159" i="15"/>
  <c r="Z158" i="15"/>
  <c r="X158" i="15"/>
  <c r="N158" i="15"/>
  <c r="L158" i="15"/>
  <c r="B158" i="15"/>
  <c r="Z157" i="15"/>
  <c r="X157" i="15"/>
  <c r="N157" i="15"/>
  <c r="L157" i="15"/>
  <c r="B157" i="15"/>
  <c r="Z156" i="15"/>
  <c r="T156" i="15"/>
  <c r="P156" i="15"/>
  <c r="X156" i="15" s="1"/>
  <c r="L156" i="15"/>
  <c r="N156" i="15" s="1"/>
  <c r="H156" i="15"/>
  <c r="D156" i="15"/>
  <c r="B156" i="15"/>
  <c r="Z155" i="15"/>
  <c r="X155" i="15"/>
  <c r="L155" i="15"/>
  <c r="N155" i="15" s="1"/>
  <c r="B155" i="15"/>
  <c r="X154" i="15"/>
  <c r="Z154" i="15" s="1"/>
  <c r="N154" i="15"/>
  <c r="L154" i="15"/>
  <c r="B154" i="15"/>
  <c r="T153" i="15"/>
  <c r="P153" i="15"/>
  <c r="X153" i="15" s="1"/>
  <c r="H153" i="15"/>
  <c r="D153" i="15"/>
  <c r="B153" i="15"/>
  <c r="Z152" i="15"/>
  <c r="X152" i="15"/>
  <c r="N152" i="15"/>
  <c r="L152" i="15"/>
  <c r="B152" i="15"/>
  <c r="T151" i="15"/>
  <c r="P151" i="15"/>
  <c r="X151" i="15" s="1"/>
  <c r="Z151" i="15" s="1"/>
  <c r="L151" i="15"/>
  <c r="H151" i="15"/>
  <c r="N151" i="15" s="1"/>
  <c r="D151" i="15"/>
  <c r="B151" i="15"/>
  <c r="Z150" i="15"/>
  <c r="X150" i="15"/>
  <c r="N150" i="15"/>
  <c r="L150" i="15"/>
  <c r="B150" i="15"/>
  <c r="X149" i="15"/>
  <c r="Z149" i="15" s="1"/>
  <c r="L149" i="15"/>
  <c r="N149" i="15" s="1"/>
  <c r="B149" i="15"/>
  <c r="Z148" i="15"/>
  <c r="X148" i="15"/>
  <c r="T148" i="15"/>
  <c r="P148" i="15"/>
  <c r="H148" i="15"/>
  <c r="D148" i="15"/>
  <c r="L148" i="15" s="1"/>
  <c r="N148" i="15" s="1"/>
  <c r="B148" i="15"/>
  <c r="X147" i="15"/>
  <c r="Z147" i="15" s="1"/>
  <c r="N147" i="15"/>
  <c r="L147" i="15"/>
  <c r="B147" i="15"/>
  <c r="T146" i="15"/>
  <c r="P146" i="15"/>
  <c r="H146" i="15"/>
  <c r="D146" i="15"/>
  <c r="L146" i="15" s="1"/>
  <c r="N146" i="15" s="1"/>
  <c r="B146" i="15"/>
  <c r="X145" i="15"/>
  <c r="Z145" i="15" s="1"/>
  <c r="L145" i="15"/>
  <c r="N145" i="15" s="1"/>
  <c r="B145" i="15"/>
  <c r="Z144" i="15"/>
  <c r="X144" i="15"/>
  <c r="N144" i="15"/>
  <c r="L144" i="15"/>
  <c r="B144" i="15"/>
  <c r="X143" i="15"/>
  <c r="Z143" i="15" s="1"/>
  <c r="N143" i="15"/>
  <c r="L143" i="15"/>
  <c r="B143" i="15"/>
  <c r="Z142" i="15"/>
  <c r="X142" i="15"/>
  <c r="L142" i="15"/>
  <c r="N142" i="15" s="1"/>
  <c r="B142" i="15"/>
  <c r="X141" i="15"/>
  <c r="Z141" i="15" s="1"/>
  <c r="L141" i="15"/>
  <c r="N141" i="15" s="1"/>
  <c r="B141" i="15"/>
  <c r="X140" i="15"/>
  <c r="Z140" i="15" s="1"/>
  <c r="N140" i="15"/>
  <c r="L140" i="15"/>
  <c r="B140" i="15"/>
  <c r="Z139" i="15"/>
  <c r="X139" i="15"/>
  <c r="L139" i="15"/>
  <c r="N139" i="15" s="1"/>
  <c r="B139" i="15"/>
  <c r="T138" i="15"/>
  <c r="Z138" i="15" s="1"/>
  <c r="P138" i="15"/>
  <c r="X138" i="15" s="1"/>
  <c r="L138" i="15"/>
  <c r="N138" i="15" s="1"/>
  <c r="H138" i="15"/>
  <c r="D138" i="15"/>
  <c r="B138" i="15"/>
  <c r="X137" i="15"/>
  <c r="Z137" i="15" s="1"/>
  <c r="L137" i="15"/>
  <c r="N137" i="15" s="1"/>
  <c r="B137" i="15"/>
  <c r="Z136" i="15"/>
  <c r="X136" i="15"/>
  <c r="N136" i="15"/>
  <c r="L136" i="15"/>
  <c r="B136" i="15"/>
  <c r="Z135" i="15"/>
  <c r="X135" i="15"/>
  <c r="L135" i="15"/>
  <c r="N135" i="15" s="1"/>
  <c r="B135" i="15"/>
  <c r="X134" i="15"/>
  <c r="Z134" i="15" s="1"/>
  <c r="N134" i="15"/>
  <c r="L134" i="15"/>
  <c r="B134" i="15"/>
  <c r="Z133" i="15"/>
  <c r="X133" i="15"/>
  <c r="N133" i="15"/>
  <c r="L133" i="15"/>
  <c r="B133" i="15"/>
  <c r="Z132" i="15"/>
  <c r="X132" i="15"/>
  <c r="L132" i="15"/>
  <c r="N132" i="15" s="1"/>
  <c r="B132" i="15"/>
  <c r="X131" i="15"/>
  <c r="Z131" i="15" s="1"/>
  <c r="N131" i="15"/>
  <c r="L131" i="15"/>
  <c r="B131" i="15"/>
  <c r="Z130" i="15"/>
  <c r="X130" i="15"/>
  <c r="L130" i="15"/>
  <c r="N130" i="15" s="1"/>
  <c r="B130" i="15"/>
  <c r="X129" i="15"/>
  <c r="Z129" i="15" s="1"/>
  <c r="N129" i="15"/>
  <c r="L129" i="15"/>
  <c r="B129" i="15"/>
  <c r="X128" i="15"/>
  <c r="Z128" i="15" s="1"/>
  <c r="N128" i="15"/>
  <c r="L128" i="15"/>
  <c r="B128" i="15"/>
  <c r="T127" i="15"/>
  <c r="P127" i="15"/>
  <c r="L127" i="15"/>
  <c r="N127" i="15" s="1"/>
  <c r="H127" i="15"/>
  <c r="D127" i="15"/>
  <c r="B127" i="15"/>
  <c r="T126" i="15" a="1"/>
  <c r="T126" i="15" s="1"/>
  <c r="P126" i="15" a="1"/>
  <c r="P126" i="15" s="1"/>
  <c r="H126" i="15" a="1"/>
  <c r="H126" i="15" s="1"/>
  <c r="D126" i="15" a="1"/>
  <c r="D126" i="15" s="1"/>
  <c r="Z122" i="15"/>
  <c r="X122" i="15"/>
  <c r="N122" i="15"/>
  <c r="L122" i="15"/>
  <c r="B122" i="15"/>
  <c r="Z121" i="15"/>
  <c r="X121" i="15"/>
  <c r="L121" i="15"/>
  <c r="N121" i="15" s="1"/>
  <c r="B121" i="15"/>
  <c r="Z120" i="15"/>
  <c r="X120" i="15"/>
  <c r="N120" i="15"/>
  <c r="L120" i="15"/>
  <c r="B120" i="15"/>
  <c r="X119" i="15"/>
  <c r="Z119" i="15" s="1"/>
  <c r="N119" i="15"/>
  <c r="L119" i="15"/>
  <c r="B119" i="15"/>
  <c r="Z118" i="15"/>
  <c r="X118" i="15"/>
  <c r="N118" i="15"/>
  <c r="L118" i="15"/>
  <c r="B118" i="15"/>
  <c r="Z117" i="15"/>
  <c r="X117" i="15"/>
  <c r="L117" i="15"/>
  <c r="N117" i="15" s="1"/>
  <c r="B117" i="15"/>
  <c r="Z116" i="15"/>
  <c r="X116" i="15"/>
  <c r="L116" i="15"/>
  <c r="N116" i="15" s="1"/>
  <c r="B116" i="15"/>
  <c r="Z115" i="15"/>
  <c r="X115" i="15"/>
  <c r="N115" i="15"/>
  <c r="L115" i="15"/>
  <c r="B115" i="15"/>
  <c r="X114" i="15"/>
  <c r="Z114" i="15" s="1"/>
  <c r="N114" i="15"/>
  <c r="L114" i="15"/>
  <c r="B114" i="15"/>
  <c r="Z113" i="15"/>
  <c r="X113" i="15"/>
  <c r="N113" i="15"/>
  <c r="L113" i="15"/>
  <c r="B113" i="15"/>
  <c r="X112" i="15"/>
  <c r="Z112" i="15" s="1"/>
  <c r="N112" i="15"/>
  <c r="L112" i="15"/>
  <c r="B112" i="15"/>
  <c r="Z111" i="15"/>
  <c r="X111" i="15"/>
  <c r="N111" i="15"/>
  <c r="L111" i="15"/>
  <c r="B111" i="15"/>
  <c r="X110" i="15"/>
  <c r="Z110" i="15" s="1"/>
  <c r="N110" i="15"/>
  <c r="L110" i="15"/>
  <c r="B110" i="15"/>
  <c r="Z109" i="15"/>
  <c r="X109" i="15"/>
  <c r="N109" i="15"/>
  <c r="L109" i="15"/>
  <c r="B109" i="15"/>
  <c r="Z108" i="15"/>
  <c r="X108" i="15"/>
  <c r="L108" i="15"/>
  <c r="N108" i="15" s="1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X104" i="15"/>
  <c r="Z104" i="15" s="1"/>
  <c r="N104" i="15"/>
  <c r="L104" i="15"/>
  <c r="B104" i="15"/>
  <c r="Z103" i="15"/>
  <c r="X103" i="15"/>
  <c r="N103" i="15"/>
  <c r="L103" i="15"/>
  <c r="B103" i="15"/>
  <c r="X102" i="15"/>
  <c r="Z102" i="15" s="1"/>
  <c r="L102" i="15"/>
  <c r="N102" i="15" s="1"/>
  <c r="B102" i="15"/>
  <c r="Z101" i="15"/>
  <c r="X101" i="15"/>
  <c r="N101" i="15"/>
  <c r="L101" i="15"/>
  <c r="B101" i="15"/>
  <c r="Z100" i="15"/>
  <c r="X100" i="15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Z97" i="15"/>
  <c r="X97" i="15"/>
  <c r="N97" i="15"/>
  <c r="L97" i="15"/>
  <c r="B97" i="15"/>
  <c r="X96" i="15"/>
  <c r="Z96" i="15" s="1"/>
  <c r="N96" i="15"/>
  <c r="L96" i="15"/>
  <c r="B96" i="15"/>
  <c r="Z95" i="15"/>
  <c r="X95" i="15"/>
  <c r="N95" i="15"/>
  <c r="L95" i="15"/>
  <c r="B95" i="15"/>
  <c r="X94" i="15"/>
  <c r="Z94" i="15" s="1"/>
  <c r="L94" i="15"/>
  <c r="N94" i="15" s="1"/>
  <c r="B94" i="15"/>
  <c r="Z93" i="15"/>
  <c r="X93" i="15"/>
  <c r="N93" i="15"/>
  <c r="L93" i="15"/>
  <c r="B93" i="15"/>
  <c r="Z92" i="15"/>
  <c r="X92" i="15"/>
  <c r="N92" i="15"/>
  <c r="L92" i="15"/>
  <c r="B92" i="15"/>
  <c r="Z91" i="15"/>
  <c r="X91" i="15"/>
  <c r="N91" i="15"/>
  <c r="L91" i="15"/>
  <c r="B91" i="15"/>
  <c r="X90" i="15"/>
  <c r="Z90" i="15" s="1"/>
  <c r="N90" i="15"/>
  <c r="L90" i="15"/>
  <c r="B90" i="15"/>
  <c r="Z89" i="15"/>
  <c r="X89" i="15"/>
  <c r="N89" i="15"/>
  <c r="L89" i="15"/>
  <c r="B89" i="15"/>
  <c r="X88" i="15"/>
  <c r="Z88" i="15" s="1"/>
  <c r="N88" i="15"/>
  <c r="L88" i="15"/>
  <c r="B88" i="15"/>
  <c r="Z87" i="15"/>
  <c r="X87" i="15"/>
  <c r="N87" i="15"/>
  <c r="L87" i="15"/>
  <c r="B87" i="15"/>
  <c r="X86" i="15"/>
  <c r="Z86" i="15" s="1"/>
  <c r="L86" i="15"/>
  <c r="N86" i="15" s="1"/>
  <c r="B86" i="15"/>
  <c r="Z85" i="15"/>
  <c r="X85" i="15"/>
  <c r="N85" i="15"/>
  <c r="L85" i="15"/>
  <c r="B85" i="15"/>
  <c r="Z84" i="15"/>
  <c r="X84" i="15"/>
  <c r="L84" i="15"/>
  <c r="N84" i="15" s="1"/>
  <c r="B84" i="15"/>
  <c r="Z83" i="15"/>
  <c r="X83" i="15"/>
  <c r="N83" i="15"/>
  <c r="L83" i="15"/>
  <c r="B83" i="15"/>
  <c r="Z82" i="15"/>
  <c r="X82" i="15"/>
  <c r="N82" i="15"/>
  <c r="L82" i="15"/>
  <c r="B82" i="15"/>
  <c r="T81" i="15"/>
  <c r="P81" i="15"/>
  <c r="X81" i="15" s="1"/>
  <c r="Z81" i="15" s="1"/>
  <c r="H81" i="15"/>
  <c r="D81" i="15"/>
  <c r="L81" i="15" s="1"/>
  <c r="N81" i="15" s="1"/>
  <c r="Z79" i="15"/>
  <c r="X79" i="15"/>
  <c r="T79" i="15"/>
  <c r="P79" i="15"/>
  <c r="H79" i="15"/>
  <c r="N79" i="15" s="1"/>
  <c r="D79" i="15"/>
  <c r="B79" i="15"/>
  <c r="T78" i="15"/>
  <c r="P78" i="15"/>
  <c r="X78" i="15" s="1"/>
  <c r="Z78" i="15" s="1"/>
  <c r="L78" i="15"/>
  <c r="H78" i="15"/>
  <c r="N78" i="15" s="1"/>
  <c r="D78" i="15"/>
  <c r="B78" i="15"/>
  <c r="T77" i="15"/>
  <c r="P77" i="15"/>
  <c r="X77" i="15" s="1"/>
  <c r="N77" i="15"/>
  <c r="H77" i="15"/>
  <c r="D77" i="15"/>
  <c r="L77" i="15" s="1"/>
  <c r="B77" i="15"/>
  <c r="T76" i="15"/>
  <c r="P76" i="15"/>
  <c r="X76" i="15" s="1"/>
  <c r="Z76" i="15" s="1"/>
  <c r="L76" i="15"/>
  <c r="H76" i="15"/>
  <c r="N76" i="15" s="1"/>
  <c r="D76" i="15"/>
  <c r="B76" i="15"/>
  <c r="T75" i="15"/>
  <c r="P75" i="15"/>
  <c r="N75" i="15"/>
  <c r="L75" i="15"/>
  <c r="H75" i="15"/>
  <c r="D75" i="15"/>
  <c r="B75" i="15"/>
  <c r="X74" i="15"/>
  <c r="T74" i="15"/>
  <c r="P74" i="15"/>
  <c r="H74" i="15"/>
  <c r="D74" i="15"/>
  <c r="L74" i="15" s="1"/>
  <c r="N74" i="15" s="1"/>
  <c r="B74" i="15"/>
  <c r="T73" i="15"/>
  <c r="P73" i="15"/>
  <c r="X73" i="15" s="1"/>
  <c r="Z73" i="15" s="1"/>
  <c r="H73" i="15"/>
  <c r="D73" i="15"/>
  <c r="B73" i="15"/>
  <c r="X72" i="15"/>
  <c r="T72" i="15"/>
  <c r="Z72" i="15" s="1"/>
  <c r="P72" i="15"/>
  <c r="N72" i="15"/>
  <c r="H72" i="15"/>
  <c r="D72" i="15"/>
  <c r="L72" i="15" s="1"/>
  <c r="B72" i="15"/>
  <c r="Z71" i="15"/>
  <c r="X71" i="15"/>
  <c r="T71" i="15"/>
  <c r="P71" i="15"/>
  <c r="H71" i="15"/>
  <c r="D71" i="15"/>
  <c r="L71" i="15" s="1"/>
  <c r="B71" i="15"/>
  <c r="T70" i="15"/>
  <c r="P70" i="15"/>
  <c r="X70" i="15" s="1"/>
  <c r="Z70" i="15" s="1"/>
  <c r="L70" i="15"/>
  <c r="H70" i="15"/>
  <c r="D70" i="15"/>
  <c r="B70" i="15"/>
  <c r="T69" i="15"/>
  <c r="P69" i="15"/>
  <c r="H69" i="15"/>
  <c r="D69" i="15"/>
  <c r="L69" i="15" s="1"/>
  <c r="N69" i="15" s="1"/>
  <c r="B69" i="15"/>
  <c r="T68" i="15"/>
  <c r="P68" i="15"/>
  <c r="X68" i="15" s="1"/>
  <c r="Z68" i="15" s="1"/>
  <c r="L68" i="15"/>
  <c r="H68" i="15"/>
  <c r="N68" i="15" s="1"/>
  <c r="D68" i="15"/>
  <c r="B68" i="15"/>
  <c r="T67" i="15"/>
  <c r="P67" i="15"/>
  <c r="N67" i="15"/>
  <c r="L67" i="15"/>
  <c r="H67" i="15"/>
  <c r="D67" i="15"/>
  <c r="B67" i="15"/>
  <c r="X66" i="15"/>
  <c r="T66" i="15"/>
  <c r="P66" i="15"/>
  <c r="H66" i="15"/>
  <c r="D66" i="15"/>
  <c r="L66" i="15" s="1"/>
  <c r="N66" i="15" s="1"/>
  <c r="B66" i="15"/>
  <c r="T65" i="15"/>
  <c r="P65" i="15"/>
  <c r="X65" i="15" s="1"/>
  <c r="Z65" i="15" s="1"/>
  <c r="H65" i="15"/>
  <c r="D65" i="15"/>
  <c r="B65" i="15"/>
  <c r="X64" i="15"/>
  <c r="T64" i="15"/>
  <c r="Z64" i="15" s="1"/>
  <c r="P64" i="15"/>
  <c r="H64" i="15"/>
  <c r="D64" i="15"/>
  <c r="L64" i="15" s="1"/>
  <c r="N64" i="15" s="1"/>
  <c r="B64" i="15"/>
  <c r="Z63" i="15"/>
  <c r="X63" i="15"/>
  <c r="T63" i="15"/>
  <c r="P63" i="15"/>
  <c r="H63" i="15"/>
  <c r="N63" i="15" s="1"/>
  <c r="D63" i="15"/>
  <c r="B63" i="15"/>
  <c r="T62" i="15"/>
  <c r="P62" i="15"/>
  <c r="X62" i="15" s="1"/>
  <c r="Z62" i="15" s="1"/>
  <c r="L62" i="15"/>
  <c r="H62" i="15"/>
  <c r="D62" i="15"/>
  <c r="B62" i="15"/>
  <c r="T61" i="15"/>
  <c r="P61" i="15"/>
  <c r="N61" i="15"/>
  <c r="H61" i="15"/>
  <c r="D61" i="15"/>
  <c r="L61" i="15" s="1"/>
  <c r="B61" i="15"/>
  <c r="T60" i="15"/>
  <c r="P60" i="15"/>
  <c r="X60" i="15" s="1"/>
  <c r="Z60" i="15" s="1"/>
  <c r="L60" i="15"/>
  <c r="H60" i="15"/>
  <c r="N60" i="15" s="1"/>
  <c r="D60" i="15"/>
  <c r="B60" i="15"/>
  <c r="T59" i="15"/>
  <c r="P59" i="15"/>
  <c r="N59" i="15"/>
  <c r="L59" i="15"/>
  <c r="H59" i="15"/>
  <c r="D59" i="15"/>
  <c r="B59" i="15"/>
  <c r="X58" i="15"/>
  <c r="T58" i="15"/>
  <c r="Z58" i="15" s="1"/>
  <c r="P58" i="15"/>
  <c r="N58" i="15"/>
  <c r="H58" i="15"/>
  <c r="D58" i="15"/>
  <c r="L58" i="15" s="1"/>
  <c r="B58" i="15"/>
  <c r="T57" i="15"/>
  <c r="P57" i="15"/>
  <c r="X57" i="15" s="1"/>
  <c r="Z57" i="15" s="1"/>
  <c r="H57" i="15"/>
  <c r="D57" i="15"/>
  <c r="B57" i="15"/>
  <c r="X56" i="15"/>
  <c r="T56" i="15"/>
  <c r="Z56" i="15" s="1"/>
  <c r="P56" i="15"/>
  <c r="H56" i="15"/>
  <c r="D56" i="15"/>
  <c r="L56" i="15" s="1"/>
  <c r="N56" i="15" s="1"/>
  <c r="B56" i="15"/>
  <c r="Z55" i="15"/>
  <c r="X55" i="15"/>
  <c r="T55" i="15"/>
  <c r="P55" i="15"/>
  <c r="H55" i="15"/>
  <c r="N55" i="15" s="1"/>
  <c r="D55" i="15"/>
  <c r="B55" i="15"/>
  <c r="T54" i="15"/>
  <c r="P54" i="15"/>
  <c r="X54" i="15" s="1"/>
  <c r="Z54" i="15" s="1"/>
  <c r="L54" i="15"/>
  <c r="H54" i="15"/>
  <c r="D54" i="15"/>
  <c r="B54" i="15"/>
  <c r="T53" i="15"/>
  <c r="P53" i="15"/>
  <c r="N53" i="15"/>
  <c r="H53" i="15"/>
  <c r="D53" i="15"/>
  <c r="L53" i="15" s="1"/>
  <c r="B53" i="15"/>
  <c r="T52" i="15"/>
  <c r="P52" i="15"/>
  <c r="X52" i="15" s="1"/>
  <c r="Z52" i="15" s="1"/>
  <c r="L52" i="15"/>
  <c r="H52" i="15"/>
  <c r="N52" i="15" s="1"/>
  <c r="D52" i="15"/>
  <c r="B52" i="15"/>
  <c r="T51" i="15"/>
  <c r="P51" i="15"/>
  <c r="N51" i="15"/>
  <c r="L51" i="15"/>
  <c r="H51" i="15"/>
  <c r="D51" i="15"/>
  <c r="B51" i="15"/>
  <c r="X50" i="15"/>
  <c r="T50" i="15"/>
  <c r="P50" i="15"/>
  <c r="H50" i="15"/>
  <c r="D50" i="15"/>
  <c r="L50" i="15" s="1"/>
  <c r="N50" i="15" s="1"/>
  <c r="B50" i="15"/>
  <c r="Z49" i="15"/>
  <c r="T49" i="15"/>
  <c r="P49" i="15"/>
  <c r="X49" i="15" s="1"/>
  <c r="H49" i="15"/>
  <c r="N49" i="15" s="1"/>
  <c r="D49" i="15"/>
  <c r="B49" i="15"/>
  <c r="X48" i="15"/>
  <c r="T48" i="15"/>
  <c r="Z48" i="15" s="1"/>
  <c r="P48" i="15"/>
  <c r="N48" i="15"/>
  <c r="H48" i="15"/>
  <c r="D48" i="15"/>
  <c r="L48" i="15" s="1"/>
  <c r="B48" i="15"/>
  <c r="Z47" i="15"/>
  <c r="X47" i="15"/>
  <c r="T47" i="15"/>
  <c r="P47" i="15"/>
  <c r="H47" i="15"/>
  <c r="N47" i="15" s="1"/>
  <c r="D47" i="15"/>
  <c r="L47" i="15" s="1"/>
  <c r="B47" i="15"/>
  <c r="T46" i="15"/>
  <c r="P46" i="15"/>
  <c r="X46" i="15" s="1"/>
  <c r="Z46" i="15" s="1"/>
  <c r="L46" i="15"/>
  <c r="H46" i="15"/>
  <c r="N46" i="15" s="1"/>
  <c r="D46" i="15"/>
  <c r="B46" i="15"/>
  <c r="T45" i="15"/>
  <c r="P45" i="15"/>
  <c r="H45" i="15"/>
  <c r="D45" i="15"/>
  <c r="L45" i="15" s="1"/>
  <c r="N45" i="15" s="1"/>
  <c r="B45" i="15"/>
  <c r="T44" i="15"/>
  <c r="P44" i="15"/>
  <c r="X44" i="15" s="1"/>
  <c r="Z44" i="15" s="1"/>
  <c r="L44" i="15"/>
  <c r="H44" i="15"/>
  <c r="N44" i="15" s="1"/>
  <c r="D44" i="15"/>
  <c r="B44" i="15"/>
  <c r="T43" i="15"/>
  <c r="P43" i="15"/>
  <c r="N43" i="15"/>
  <c r="L43" i="15"/>
  <c r="H43" i="15"/>
  <c r="D43" i="15"/>
  <c r="B43" i="15"/>
  <c r="X42" i="15"/>
  <c r="T42" i="15"/>
  <c r="P42" i="15"/>
  <c r="N42" i="15"/>
  <c r="H42" i="15"/>
  <c r="D42" i="15"/>
  <c r="L42" i="15" s="1"/>
  <c r="B42" i="15"/>
  <c r="T41" i="15"/>
  <c r="P41" i="15"/>
  <c r="X41" i="15" s="1"/>
  <c r="Z41" i="15" s="1"/>
  <c r="H41" i="15"/>
  <c r="N41" i="15" s="1"/>
  <c r="D41" i="15"/>
  <c r="B41" i="15"/>
  <c r="X40" i="15"/>
  <c r="T40" i="15"/>
  <c r="Z40" i="15" s="1"/>
  <c r="P40" i="15"/>
  <c r="H40" i="15"/>
  <c r="D40" i="15"/>
  <c r="L40" i="15" s="1"/>
  <c r="N40" i="15" s="1"/>
  <c r="B40" i="15"/>
  <c r="Z39" i="15"/>
  <c r="X39" i="15"/>
  <c r="T39" i="15"/>
  <c r="P39" i="15"/>
  <c r="H39" i="15"/>
  <c r="D39" i="15"/>
  <c r="L39" i="15" s="1"/>
  <c r="B39" i="15"/>
  <c r="T38" i="15"/>
  <c r="P38" i="15"/>
  <c r="X38" i="15" s="1"/>
  <c r="Z38" i="15" s="1"/>
  <c r="L38" i="15"/>
  <c r="H38" i="15"/>
  <c r="N38" i="15" s="1"/>
  <c r="D38" i="15"/>
  <c r="B38" i="15"/>
  <c r="T37" i="15"/>
  <c r="P37" i="15"/>
  <c r="H37" i="15"/>
  <c r="D37" i="15"/>
  <c r="L37" i="15" s="1"/>
  <c r="N37" i="15" s="1"/>
  <c r="B37" i="15"/>
  <c r="T36" i="15"/>
  <c r="P36" i="15"/>
  <c r="X36" i="15" s="1"/>
  <c r="Z36" i="15" s="1"/>
  <c r="L36" i="15"/>
  <c r="H36" i="15"/>
  <c r="N36" i="15" s="1"/>
  <c r="D36" i="15"/>
  <c r="B36" i="15"/>
  <c r="T35" i="15"/>
  <c r="P35" i="15"/>
  <c r="N35" i="15"/>
  <c r="L35" i="15"/>
  <c r="H35" i="15"/>
  <c r="D35" i="15"/>
  <c r="B35" i="15"/>
  <c r="X34" i="15"/>
  <c r="T34" i="15"/>
  <c r="P34" i="15"/>
  <c r="H34" i="15"/>
  <c r="D34" i="15"/>
  <c r="L34" i="15" s="1"/>
  <c r="N34" i="15" s="1"/>
  <c r="B34" i="15"/>
  <c r="Z33" i="15"/>
  <c r="T33" i="15"/>
  <c r="P33" i="15"/>
  <c r="X33" i="15" s="1"/>
  <c r="H33" i="15"/>
  <c r="N33" i="15" s="1"/>
  <c r="D33" i="15"/>
  <c r="B33" i="15"/>
  <c r="X32" i="15"/>
  <c r="T32" i="15"/>
  <c r="Z32" i="15" s="1"/>
  <c r="P32" i="15"/>
  <c r="N32" i="15"/>
  <c r="H32" i="15"/>
  <c r="D32" i="15"/>
  <c r="L32" i="15" s="1"/>
  <c r="B32" i="15"/>
  <c r="Z31" i="15"/>
  <c r="X31" i="15"/>
  <c r="T31" i="15"/>
  <c r="P31" i="15"/>
  <c r="H31" i="15"/>
  <c r="D31" i="15"/>
  <c r="L31" i="15" s="1"/>
  <c r="B31" i="15"/>
  <c r="T30" i="15"/>
  <c r="P30" i="15"/>
  <c r="X30" i="15" s="1"/>
  <c r="Z30" i="15" s="1"/>
  <c r="L30" i="15"/>
  <c r="H30" i="15"/>
  <c r="N30" i="15" s="1"/>
  <c r="D30" i="15"/>
  <c r="B30" i="15"/>
  <c r="T29" i="15"/>
  <c r="P29" i="15"/>
  <c r="N29" i="15"/>
  <c r="H29" i="15"/>
  <c r="D29" i="15"/>
  <c r="L29" i="15" s="1"/>
  <c r="B29" i="15"/>
  <c r="T28" i="15"/>
  <c r="P28" i="15"/>
  <c r="X28" i="15" s="1"/>
  <c r="Z28" i="15" s="1"/>
  <c r="L28" i="15"/>
  <c r="H28" i="15"/>
  <c r="N28" i="15" s="1"/>
  <c r="D28" i="15"/>
  <c r="B28" i="15"/>
  <c r="T27" i="15"/>
  <c r="P27" i="15"/>
  <c r="X27" i="15" s="1"/>
  <c r="N27" i="15"/>
  <c r="L27" i="15"/>
  <c r="H27" i="15"/>
  <c r="D27" i="15"/>
  <c r="B27" i="15"/>
  <c r="X26" i="15"/>
  <c r="T26" i="15"/>
  <c r="P26" i="15"/>
  <c r="H26" i="15"/>
  <c r="D26" i="15"/>
  <c r="L26" i="15" s="1"/>
  <c r="N26" i="15" s="1"/>
  <c r="B26" i="15"/>
  <c r="Z25" i="15"/>
  <c r="T25" i="15"/>
  <c r="P25" i="15"/>
  <c r="X25" i="15" s="1"/>
  <c r="H25" i="15"/>
  <c r="N25" i="15" s="1"/>
  <c r="D25" i="15"/>
  <c r="B25" i="15"/>
  <c r="X24" i="15"/>
  <c r="T24" i="15"/>
  <c r="Z24" i="15" s="1"/>
  <c r="P24" i="15"/>
  <c r="H24" i="15"/>
  <c r="D24" i="15"/>
  <c r="L24" i="15" s="1"/>
  <c r="N24" i="15" s="1"/>
  <c r="B24" i="15"/>
  <c r="Z23" i="15"/>
  <c r="X23" i="15"/>
  <c r="T23" i="15"/>
  <c r="P23" i="15"/>
  <c r="H23" i="15"/>
  <c r="D23" i="15"/>
  <c r="B23" i="15"/>
  <c r="T22" i="15"/>
  <c r="P22" i="15"/>
  <c r="X22" i="15" s="1"/>
  <c r="Z22" i="15" s="1"/>
  <c r="L22" i="15"/>
  <c r="H22" i="15"/>
  <c r="D22" i="15"/>
  <c r="B22" i="15"/>
  <c r="T21" i="15"/>
  <c r="P21" i="15"/>
  <c r="H21" i="15"/>
  <c r="D21" i="15"/>
  <c r="L21" i="15" s="1"/>
  <c r="N21" i="15" s="1"/>
  <c r="B21" i="15"/>
  <c r="T20" i="15"/>
  <c r="P20" i="15"/>
  <c r="X20" i="15" s="1"/>
  <c r="Z20" i="15" s="1"/>
  <c r="L20" i="15"/>
  <c r="H20" i="15"/>
  <c r="N20" i="15" s="1"/>
  <c r="D20" i="15"/>
  <c r="B20" i="15"/>
  <c r="T19" i="15"/>
  <c r="P19" i="15"/>
  <c r="N19" i="15"/>
  <c r="L19" i="15"/>
  <c r="H19" i="15"/>
  <c r="D19" i="15"/>
  <c r="B19" i="15"/>
  <c r="X18" i="15"/>
  <c r="T18" i="15"/>
  <c r="P18" i="15"/>
  <c r="H18" i="15"/>
  <c r="D18" i="15"/>
  <c r="L18" i="15" s="1"/>
  <c r="N18" i="15" s="1"/>
  <c r="B18" i="15"/>
  <c r="T17" i="15"/>
  <c r="P17" i="15"/>
  <c r="X17" i="15" s="1"/>
  <c r="Z17" i="15" s="1"/>
  <c r="H17" i="15"/>
  <c r="N17" i="15" s="1"/>
  <c r="D17" i="15"/>
  <c r="B17" i="15"/>
  <c r="X16" i="15"/>
  <c r="T16" i="15"/>
  <c r="Z16" i="15" s="1"/>
  <c r="P16" i="15"/>
  <c r="H16" i="15"/>
  <c r="D16" i="15"/>
  <c r="L16" i="15" s="1"/>
  <c r="N16" i="15" s="1"/>
  <c r="B16" i="15"/>
  <c r="Z15" i="15"/>
  <c r="X15" i="15"/>
  <c r="T15" i="15"/>
  <c r="P15" i="15"/>
  <c r="H15" i="15"/>
  <c r="D15" i="15"/>
  <c r="B15" i="15"/>
  <c r="T14" i="15"/>
  <c r="P14" i="15"/>
  <c r="X14" i="15" s="1"/>
  <c r="Z14" i="15" s="1"/>
  <c r="L14" i="15"/>
  <c r="H14" i="15"/>
  <c r="N14" i="15" s="1"/>
  <c r="D14" i="15"/>
  <c r="B14" i="15"/>
  <c r="T13" i="15"/>
  <c r="P13" i="15"/>
  <c r="N13" i="15"/>
  <c r="H13" i="15"/>
  <c r="D13" i="15"/>
  <c r="L13" i="15" s="1"/>
  <c r="B13" i="15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P29" i="14"/>
  <c r="H29" i="14"/>
  <c r="N29" i="14" s="1"/>
  <c r="D29" i="14"/>
  <c r="T25" i="14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18" i="14" s="1"/>
  <c r="P12" i="14"/>
  <c r="R27" i="14" s="1"/>
  <c r="H12" i="14"/>
  <c r="J22" i="14" s="1"/>
  <c r="D12" i="14"/>
  <c r="F18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34" i="13" s="1"/>
  <c r="H12" i="13"/>
  <c r="J36" i="13" s="1"/>
  <c r="D12" i="13"/>
  <c r="F21" i="13" s="1"/>
  <c r="D5" i="13"/>
  <c r="D4" i="13"/>
  <c r="Z234" i="12"/>
  <c r="X234" i="12"/>
  <c r="N234" i="12"/>
  <c r="L234" i="12"/>
  <c r="T230" i="12"/>
  <c r="X230" i="12" s="1"/>
  <c r="Z230" i="12" s="1"/>
  <c r="P230" i="12"/>
  <c r="H230" i="12"/>
  <c r="D230" i="12"/>
  <c r="L230" i="12" s="1"/>
  <c r="N230" i="12" s="1"/>
  <c r="B230" i="12"/>
  <c r="X229" i="12"/>
  <c r="T229" i="12"/>
  <c r="Z229" i="12" s="1"/>
  <c r="P229" i="12"/>
  <c r="L229" i="12"/>
  <c r="H229" i="12"/>
  <c r="D229" i="12"/>
  <c r="B229" i="12"/>
  <c r="Z228" i="12"/>
  <c r="X228" i="12"/>
  <c r="T228" i="12"/>
  <c r="P228" i="12"/>
  <c r="H228" i="12"/>
  <c r="L228" i="12" s="1"/>
  <c r="N228" i="12" s="1"/>
  <c r="D228" i="12"/>
  <c r="B228" i="12"/>
  <c r="T227" i="12"/>
  <c r="P227" i="12"/>
  <c r="L227" i="12"/>
  <c r="H227" i="12"/>
  <c r="N227" i="12" s="1"/>
  <c r="D227" i="12"/>
  <c r="D226" i="12" s="1"/>
  <c r="B227" i="12"/>
  <c r="Z224" i="12"/>
  <c r="X224" i="12"/>
  <c r="N224" i="12"/>
  <c r="L224" i="12"/>
  <c r="B224" i="12"/>
  <c r="T223" i="12"/>
  <c r="P223" i="12"/>
  <c r="H223" i="12"/>
  <c r="D223" i="12"/>
  <c r="L223" i="12" s="1"/>
  <c r="B223" i="12"/>
  <c r="Z222" i="12"/>
  <c r="X222" i="12"/>
  <c r="N222" i="12"/>
  <c r="L222" i="12"/>
  <c r="B222" i="12"/>
  <c r="X221" i="12"/>
  <c r="Z221" i="12" s="1"/>
  <c r="N221" i="12"/>
  <c r="L221" i="12"/>
  <c r="B221" i="12"/>
  <c r="Z220" i="12"/>
  <c r="X220" i="12"/>
  <c r="N220" i="12"/>
  <c r="L220" i="12"/>
  <c r="B220" i="12"/>
  <c r="T219" i="12"/>
  <c r="P219" i="12"/>
  <c r="H219" i="12"/>
  <c r="N219" i="12" s="1"/>
  <c r="D219" i="12"/>
  <c r="L219" i="12" s="1"/>
  <c r="B219" i="12"/>
  <c r="Z218" i="12"/>
  <c r="X218" i="12"/>
  <c r="N218" i="12"/>
  <c r="L218" i="12"/>
  <c r="B218" i="12"/>
  <c r="T217" i="12"/>
  <c r="P217" i="12"/>
  <c r="X217" i="12" s="1"/>
  <c r="L217" i="12"/>
  <c r="H217" i="12"/>
  <c r="N217" i="12" s="1"/>
  <c r="D217" i="12"/>
  <c r="B217" i="12"/>
  <c r="Z216" i="12"/>
  <c r="X216" i="12"/>
  <c r="N216" i="12"/>
  <c r="L216" i="12"/>
  <c r="B216" i="12"/>
  <c r="X215" i="12"/>
  <c r="Z215" i="12" s="1"/>
  <c r="L215" i="12"/>
  <c r="N215" i="12" s="1"/>
  <c r="B215" i="12"/>
  <c r="T214" i="12"/>
  <c r="P214" i="12"/>
  <c r="X214" i="12" s="1"/>
  <c r="Z214" i="12" s="1"/>
  <c r="N214" i="12"/>
  <c r="L214" i="12"/>
  <c r="H214" i="12"/>
  <c r="D214" i="12"/>
  <c r="B214" i="12"/>
  <c r="X213" i="12"/>
  <c r="Z213" i="12" s="1"/>
  <c r="L213" i="12"/>
  <c r="N213" i="12" s="1"/>
  <c r="B213" i="12"/>
  <c r="Z212" i="12"/>
  <c r="X212" i="12"/>
  <c r="N212" i="12"/>
  <c r="L212" i="12"/>
  <c r="B212" i="12"/>
  <c r="X211" i="12"/>
  <c r="Z211" i="12" s="1"/>
  <c r="N211" i="12"/>
  <c r="L211" i="12"/>
  <c r="B211" i="12"/>
  <c r="Z210" i="12"/>
  <c r="X210" i="12"/>
  <c r="N210" i="12"/>
  <c r="L210" i="12"/>
  <c r="B210" i="12"/>
  <c r="X209" i="12"/>
  <c r="Z209" i="12" s="1"/>
  <c r="N209" i="12"/>
  <c r="L209" i="12"/>
  <c r="B209" i="12"/>
  <c r="Z208" i="12"/>
  <c r="X208" i="12"/>
  <c r="N208" i="12"/>
  <c r="L208" i="12"/>
  <c r="B208" i="12"/>
  <c r="X207" i="12"/>
  <c r="Z207" i="12" s="1"/>
  <c r="N207" i="12"/>
  <c r="L207" i="12"/>
  <c r="B207" i="12"/>
  <c r="T206" i="12"/>
  <c r="P206" i="12"/>
  <c r="X206" i="12" s="1"/>
  <c r="Z206" i="12" s="1"/>
  <c r="H206" i="12"/>
  <c r="D206" i="12"/>
  <c r="L206" i="12" s="1"/>
  <c r="N206" i="12" s="1"/>
  <c r="B206" i="12"/>
  <c r="X205" i="12"/>
  <c r="Z205" i="12" s="1"/>
  <c r="N205" i="12"/>
  <c r="L205" i="12"/>
  <c r="B205" i="12"/>
  <c r="Z204" i="12"/>
  <c r="X204" i="12"/>
  <c r="N204" i="12"/>
  <c r="L204" i="12"/>
  <c r="B204" i="12"/>
  <c r="T203" i="12"/>
  <c r="P203" i="12"/>
  <c r="H203" i="12"/>
  <c r="N203" i="12" s="1"/>
  <c r="D203" i="12"/>
  <c r="L203" i="12" s="1"/>
  <c r="B203" i="12"/>
  <c r="Z202" i="12"/>
  <c r="X202" i="12"/>
  <c r="N202" i="12"/>
  <c r="L202" i="12"/>
  <c r="B202" i="12"/>
  <c r="X201" i="12"/>
  <c r="Z201" i="12" s="1"/>
  <c r="L201" i="12"/>
  <c r="N201" i="12" s="1"/>
  <c r="B201" i="12"/>
  <c r="Z200" i="12"/>
  <c r="X200" i="12"/>
  <c r="N200" i="12"/>
  <c r="L200" i="12"/>
  <c r="B200" i="12"/>
  <c r="X199" i="12"/>
  <c r="Z199" i="12" s="1"/>
  <c r="N199" i="12"/>
  <c r="L199" i="12"/>
  <c r="B199" i="12"/>
  <c r="Z198" i="12"/>
  <c r="X198" i="12"/>
  <c r="N198" i="12"/>
  <c r="L198" i="12"/>
  <c r="B198" i="12"/>
  <c r="X197" i="12"/>
  <c r="T197" i="12"/>
  <c r="P197" i="12"/>
  <c r="H197" i="12"/>
  <c r="D197" i="12"/>
  <c r="L197" i="12" s="1"/>
  <c r="B197" i="12"/>
  <c r="Z196" i="12"/>
  <c r="X196" i="12"/>
  <c r="N196" i="12"/>
  <c r="L196" i="12"/>
  <c r="B196" i="12"/>
  <c r="X195" i="12"/>
  <c r="Z195" i="12" s="1"/>
  <c r="N195" i="12"/>
  <c r="L195" i="12"/>
  <c r="B195" i="12"/>
  <c r="Z194" i="12"/>
  <c r="X194" i="12"/>
  <c r="N194" i="12"/>
  <c r="L194" i="12"/>
  <c r="B194" i="12"/>
  <c r="X193" i="12"/>
  <c r="T193" i="12"/>
  <c r="P193" i="12"/>
  <c r="H193" i="12"/>
  <c r="D193" i="12"/>
  <c r="B193" i="12"/>
  <c r="Z192" i="12"/>
  <c r="X192" i="12"/>
  <c r="N192" i="12"/>
  <c r="L192" i="12"/>
  <c r="B192" i="12"/>
  <c r="X191" i="12"/>
  <c r="Z191" i="12" s="1"/>
  <c r="L191" i="12"/>
  <c r="N191" i="12" s="1"/>
  <c r="B191" i="12"/>
  <c r="Z190" i="12"/>
  <c r="X190" i="12"/>
  <c r="N190" i="12"/>
  <c r="L190" i="12"/>
  <c r="B190" i="12"/>
  <c r="X189" i="12"/>
  <c r="Z189" i="12" s="1"/>
  <c r="L189" i="12"/>
  <c r="N189" i="12" s="1"/>
  <c r="B189" i="12"/>
  <c r="T188" i="12"/>
  <c r="P188" i="12"/>
  <c r="X188" i="12" s="1"/>
  <c r="Z188" i="12" s="1"/>
  <c r="H188" i="12"/>
  <c r="D188" i="12"/>
  <c r="L188" i="12" s="1"/>
  <c r="N188" i="12" s="1"/>
  <c r="B188" i="12"/>
  <c r="X187" i="12"/>
  <c r="Z187" i="12" s="1"/>
  <c r="L187" i="12"/>
  <c r="N187" i="12" s="1"/>
  <c r="B187" i="12"/>
  <c r="T186" i="12"/>
  <c r="P186" i="12"/>
  <c r="X186" i="12" s="1"/>
  <c r="Z186" i="12" s="1"/>
  <c r="N186" i="12"/>
  <c r="L186" i="12"/>
  <c r="H186" i="12"/>
  <c r="D186" i="12"/>
  <c r="B186" i="12"/>
  <c r="Z185" i="12"/>
  <c r="X185" i="12"/>
  <c r="N185" i="12"/>
  <c r="L185" i="12"/>
  <c r="B185" i="12"/>
  <c r="Z184" i="12"/>
  <c r="X184" i="12"/>
  <c r="T184" i="12"/>
  <c r="P184" i="12"/>
  <c r="N184" i="12"/>
  <c r="L184" i="12"/>
  <c r="H184" i="12"/>
  <c r="D184" i="12"/>
  <c r="B184" i="12"/>
  <c r="Z183" i="12"/>
  <c r="X183" i="12"/>
  <c r="N183" i="12"/>
  <c r="L183" i="12"/>
  <c r="B183" i="12"/>
  <c r="Z182" i="12"/>
  <c r="X182" i="12"/>
  <c r="N182" i="12"/>
  <c r="L182" i="12"/>
  <c r="B182" i="12"/>
  <c r="T181" i="12"/>
  <c r="Z181" i="12" s="1"/>
  <c r="P181" i="12"/>
  <c r="X181" i="12" s="1"/>
  <c r="L181" i="12"/>
  <c r="H181" i="12"/>
  <c r="N181" i="12" s="1"/>
  <c r="D181" i="12"/>
  <c r="B181" i="12"/>
  <c r="Z180" i="12"/>
  <c r="X180" i="12"/>
  <c r="N180" i="12"/>
  <c r="L180" i="12"/>
  <c r="B180" i="12"/>
  <c r="X179" i="12"/>
  <c r="T179" i="12"/>
  <c r="Z179" i="12" s="1"/>
  <c r="P179" i="12"/>
  <c r="L179" i="12"/>
  <c r="H179" i="12"/>
  <c r="N179" i="12" s="1"/>
  <c r="D179" i="12"/>
  <c r="B179" i="12"/>
  <c r="Z178" i="12"/>
  <c r="X178" i="12"/>
  <c r="N178" i="12"/>
  <c r="L178" i="12"/>
  <c r="B178" i="12"/>
  <c r="X177" i="12"/>
  <c r="T177" i="12"/>
  <c r="P177" i="12"/>
  <c r="H177" i="12"/>
  <c r="D177" i="12"/>
  <c r="B177" i="12"/>
  <c r="Z176" i="12"/>
  <c r="X176" i="12"/>
  <c r="N176" i="12"/>
  <c r="L176" i="12"/>
  <c r="B176" i="12"/>
  <c r="T175" i="12"/>
  <c r="P175" i="12"/>
  <c r="H175" i="12"/>
  <c r="D175" i="12"/>
  <c r="L175" i="12" s="1"/>
  <c r="B175" i="12"/>
  <c r="Z174" i="12"/>
  <c r="X174" i="12"/>
  <c r="N174" i="12"/>
  <c r="L174" i="12"/>
  <c r="B174" i="12"/>
  <c r="X173" i="12"/>
  <c r="Z173" i="12" s="1"/>
  <c r="L173" i="12"/>
  <c r="N173" i="12" s="1"/>
  <c r="B173" i="12"/>
  <c r="T172" i="12"/>
  <c r="P172" i="12"/>
  <c r="X172" i="12" s="1"/>
  <c r="Z172" i="12" s="1"/>
  <c r="N172" i="12"/>
  <c r="L172" i="12"/>
  <c r="H172" i="12"/>
  <c r="D172" i="12"/>
  <c r="B172" i="12"/>
  <c r="X171" i="12"/>
  <c r="Z171" i="12" s="1"/>
  <c r="L171" i="12"/>
  <c r="N171" i="12" s="1"/>
  <c r="B171" i="12"/>
  <c r="Z170" i="12"/>
  <c r="X170" i="12"/>
  <c r="T170" i="12"/>
  <c r="P170" i="12"/>
  <c r="H170" i="12"/>
  <c r="L170" i="12" s="1"/>
  <c r="N170" i="12" s="1"/>
  <c r="D170" i="12"/>
  <c r="B170" i="12"/>
  <c r="X169" i="12"/>
  <c r="Z169" i="12" s="1"/>
  <c r="N169" i="12"/>
  <c r="L169" i="12"/>
  <c r="B169" i="12"/>
  <c r="T168" i="12"/>
  <c r="X168" i="12" s="1"/>
  <c r="Z168" i="12" s="1"/>
  <c r="P168" i="12"/>
  <c r="N168" i="12"/>
  <c r="H168" i="12"/>
  <c r="D168" i="12"/>
  <c r="L168" i="12" s="1"/>
  <c r="B168" i="12"/>
  <c r="Z167" i="12"/>
  <c r="X167" i="12"/>
  <c r="N167" i="12"/>
  <c r="L167" i="12"/>
  <c r="B167" i="12"/>
  <c r="Z166" i="12"/>
  <c r="T166" i="12"/>
  <c r="P166" i="12"/>
  <c r="X166" i="12" s="1"/>
  <c r="N166" i="12"/>
  <c r="H166" i="12"/>
  <c r="D166" i="12"/>
  <c r="L166" i="12" s="1"/>
  <c r="B166" i="12"/>
  <c r="Z165" i="12"/>
  <c r="X165" i="12"/>
  <c r="L165" i="12"/>
  <c r="N165" i="12" s="1"/>
  <c r="B165" i="12"/>
  <c r="Z164" i="12"/>
  <c r="X164" i="12"/>
  <c r="N164" i="12"/>
  <c r="L164" i="12"/>
  <c r="B164" i="12"/>
  <c r="T163" i="12"/>
  <c r="Z163" i="12" s="1"/>
  <c r="P163" i="12"/>
  <c r="X163" i="12" s="1"/>
  <c r="H163" i="12"/>
  <c r="N163" i="12" s="1"/>
  <c r="D163" i="12"/>
  <c r="L163" i="12" s="1"/>
  <c r="B163" i="12"/>
  <c r="Z162" i="12"/>
  <c r="X162" i="12"/>
  <c r="N162" i="12"/>
  <c r="L162" i="12"/>
  <c r="B162" i="12"/>
  <c r="X161" i="12"/>
  <c r="Z161" i="12" s="1"/>
  <c r="L161" i="12"/>
  <c r="N161" i="12" s="1"/>
  <c r="B161" i="12"/>
  <c r="T160" i="12"/>
  <c r="P160" i="12"/>
  <c r="X160" i="12" s="1"/>
  <c r="Z160" i="12" s="1"/>
  <c r="N160" i="12"/>
  <c r="L160" i="12"/>
  <c r="H160" i="12"/>
  <c r="D160" i="12"/>
  <c r="B160" i="12"/>
  <c r="X159" i="12"/>
  <c r="Z159" i="12" s="1"/>
  <c r="L159" i="12"/>
  <c r="N159" i="12" s="1"/>
  <c r="B159" i="12"/>
  <c r="Z158" i="12"/>
  <c r="X158" i="12"/>
  <c r="T158" i="12"/>
  <c r="P158" i="12"/>
  <c r="N158" i="12"/>
  <c r="H158" i="12"/>
  <c r="L158" i="12" s="1"/>
  <c r="D158" i="12"/>
  <c r="B158" i="12"/>
  <c r="X157" i="12"/>
  <c r="Z157" i="12" s="1"/>
  <c r="L157" i="12"/>
  <c r="N157" i="12" s="1"/>
  <c r="B157" i="12"/>
  <c r="Z156" i="12"/>
  <c r="X156" i="12"/>
  <c r="N156" i="12"/>
  <c r="L156" i="12"/>
  <c r="B156" i="12"/>
  <c r="X155" i="12"/>
  <c r="T155" i="12"/>
  <c r="Z155" i="12" s="1"/>
  <c r="P155" i="12"/>
  <c r="L155" i="12"/>
  <c r="H155" i="12"/>
  <c r="N155" i="12" s="1"/>
  <c r="D155" i="12"/>
  <c r="B155" i="12"/>
  <c r="Z154" i="12"/>
  <c r="X154" i="12"/>
  <c r="N154" i="12"/>
  <c r="L154" i="12"/>
  <c r="B154" i="12"/>
  <c r="X153" i="12"/>
  <c r="T153" i="12"/>
  <c r="P153" i="12"/>
  <c r="H153" i="12"/>
  <c r="D153" i="12"/>
  <c r="B153" i="12"/>
  <c r="Z152" i="12"/>
  <c r="X152" i="12"/>
  <c r="N152" i="12"/>
  <c r="L152" i="12"/>
  <c r="B152" i="12"/>
  <c r="X151" i="12"/>
  <c r="Z151" i="12" s="1"/>
  <c r="L151" i="12"/>
  <c r="N151" i="12" s="1"/>
  <c r="B151" i="12"/>
  <c r="Z150" i="12"/>
  <c r="X150" i="12"/>
  <c r="N150" i="12"/>
  <c r="L150" i="12"/>
  <c r="B150" i="12"/>
  <c r="X149" i="12"/>
  <c r="Z149" i="12" s="1"/>
  <c r="L149" i="12"/>
  <c r="N149" i="12" s="1"/>
  <c r="B149" i="12"/>
  <c r="Z148" i="12"/>
  <c r="X148" i="12"/>
  <c r="N148" i="12"/>
  <c r="L148" i="12"/>
  <c r="B148" i="12"/>
  <c r="X147" i="12"/>
  <c r="Z147" i="12" s="1"/>
  <c r="L147" i="12"/>
  <c r="N147" i="12" s="1"/>
  <c r="B147" i="12"/>
  <c r="Z146" i="12"/>
  <c r="X146" i="12"/>
  <c r="N146" i="12"/>
  <c r="L146" i="12"/>
  <c r="B146" i="12"/>
  <c r="T145" i="12"/>
  <c r="Z145" i="12" s="1"/>
  <c r="P145" i="12"/>
  <c r="X145" i="12" s="1"/>
  <c r="L145" i="12"/>
  <c r="H145" i="12"/>
  <c r="N145" i="12" s="1"/>
  <c r="D145" i="12"/>
  <c r="B145" i="12"/>
  <c r="Z144" i="12"/>
  <c r="X144" i="12"/>
  <c r="N144" i="12"/>
  <c r="L144" i="12"/>
  <c r="B144" i="12"/>
  <c r="X143" i="12"/>
  <c r="Z143" i="12" s="1"/>
  <c r="L143" i="12"/>
  <c r="N143" i="12" s="1"/>
  <c r="B143" i="12"/>
  <c r="Z142" i="12"/>
  <c r="X142" i="12"/>
  <c r="N142" i="12"/>
  <c r="L142" i="12"/>
  <c r="B142" i="12"/>
  <c r="X141" i="12"/>
  <c r="Z141" i="12" s="1"/>
  <c r="L141" i="12"/>
  <c r="N141" i="12" s="1"/>
  <c r="B141" i="12"/>
  <c r="Z140" i="12"/>
  <c r="X140" i="12"/>
  <c r="N140" i="12"/>
  <c r="L140" i="12"/>
  <c r="B140" i="12"/>
  <c r="X139" i="12"/>
  <c r="Z139" i="12" s="1"/>
  <c r="L139" i="12"/>
  <c r="N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Z136" i="12"/>
  <c r="X136" i="12"/>
  <c r="N136" i="12"/>
  <c r="L136" i="12"/>
  <c r="B136" i="12"/>
  <c r="X135" i="12"/>
  <c r="Z135" i="12" s="1"/>
  <c r="L135" i="12"/>
  <c r="N135" i="12" s="1"/>
  <c r="B135" i="12"/>
  <c r="Z134" i="12"/>
  <c r="X134" i="12"/>
  <c r="T134" i="12"/>
  <c r="P134" i="12"/>
  <c r="N134" i="12"/>
  <c r="L134" i="12"/>
  <c r="H134" i="12"/>
  <c r="D134" i="12"/>
  <c r="B134" i="12"/>
  <c r="X133" i="12"/>
  <c r="T133" i="12" a="1"/>
  <c r="T133" i="12" s="1"/>
  <c r="P133" i="12" a="1"/>
  <c r="P133" i="12"/>
  <c r="L133" i="12"/>
  <c r="H133" i="12" a="1"/>
  <c r="H133" i="12" s="1"/>
  <c r="D133" i="12" a="1"/>
  <c r="D133" i="12" s="1"/>
  <c r="Z129" i="12"/>
  <c r="X129" i="12"/>
  <c r="N129" i="12"/>
  <c r="L129" i="12"/>
  <c r="B129" i="12"/>
  <c r="X128" i="12"/>
  <c r="Z128" i="12" s="1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X125" i="12"/>
  <c r="Z125" i="12" s="1"/>
  <c r="N125" i="12"/>
  <c r="L125" i="12"/>
  <c r="B125" i="12"/>
  <c r="Z124" i="12"/>
  <c r="X124" i="12"/>
  <c r="L124" i="12"/>
  <c r="N124" i="12" s="1"/>
  <c r="B124" i="12"/>
  <c r="X123" i="12"/>
  <c r="Z123" i="12" s="1"/>
  <c r="N123" i="12"/>
  <c r="L123" i="12"/>
  <c r="B123" i="12"/>
  <c r="Z122" i="12"/>
  <c r="X122" i="12"/>
  <c r="N122" i="12"/>
  <c r="L122" i="12"/>
  <c r="B122" i="12"/>
  <c r="X121" i="12"/>
  <c r="Z121" i="12" s="1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X117" i="12"/>
  <c r="Z117" i="12" s="1"/>
  <c r="N117" i="12"/>
  <c r="L117" i="12"/>
  <c r="B117" i="12"/>
  <c r="Z116" i="12"/>
  <c r="X116" i="12"/>
  <c r="L116" i="12"/>
  <c r="N116" i="12" s="1"/>
  <c r="B116" i="12"/>
  <c r="X115" i="12"/>
  <c r="Z115" i="12" s="1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X112" i="12"/>
  <c r="Z112" i="12" s="1"/>
  <c r="N112" i="12"/>
  <c r="L112" i="12"/>
  <c r="B112" i="12"/>
  <c r="Z111" i="12"/>
  <c r="X111" i="12"/>
  <c r="L111" i="12"/>
  <c r="N111" i="12" s="1"/>
  <c r="B111" i="12"/>
  <c r="Z110" i="12"/>
  <c r="X110" i="12"/>
  <c r="N110" i="12"/>
  <c r="L110" i="12"/>
  <c r="B110" i="12"/>
  <c r="X109" i="12"/>
  <c r="Z109" i="12" s="1"/>
  <c r="L109" i="12"/>
  <c r="N109" i="12" s="1"/>
  <c r="B109" i="12"/>
  <c r="Z108" i="12"/>
  <c r="X108" i="12"/>
  <c r="L108" i="12"/>
  <c r="N108" i="12" s="1"/>
  <c r="B108" i="12"/>
  <c r="X107" i="12"/>
  <c r="Z107" i="12" s="1"/>
  <c r="N107" i="12"/>
  <c r="L107" i="12"/>
  <c r="B107" i="12"/>
  <c r="Z106" i="12"/>
  <c r="X106" i="12"/>
  <c r="N106" i="12"/>
  <c r="L106" i="12"/>
  <c r="B106" i="12"/>
  <c r="X105" i="12"/>
  <c r="Z105" i="12" s="1"/>
  <c r="N105" i="12"/>
  <c r="L105" i="12"/>
  <c r="B105" i="12"/>
  <c r="X104" i="12"/>
  <c r="Z104" i="12" s="1"/>
  <c r="N104" i="12"/>
  <c r="L104" i="12"/>
  <c r="B104" i="12"/>
  <c r="Z103" i="12"/>
  <c r="X103" i="12"/>
  <c r="L103" i="12"/>
  <c r="N103" i="12" s="1"/>
  <c r="B103" i="12"/>
  <c r="Z102" i="12"/>
  <c r="X102" i="12"/>
  <c r="N102" i="12"/>
  <c r="L102" i="12"/>
  <c r="B102" i="12"/>
  <c r="X101" i="12"/>
  <c r="Z101" i="12" s="1"/>
  <c r="L101" i="12"/>
  <c r="N101" i="12" s="1"/>
  <c r="B101" i="12"/>
  <c r="Z100" i="12"/>
  <c r="X100" i="12"/>
  <c r="L100" i="12"/>
  <c r="N100" i="12" s="1"/>
  <c r="B100" i="12"/>
  <c r="X99" i="12"/>
  <c r="Z99" i="12" s="1"/>
  <c r="N99" i="12"/>
  <c r="L99" i="12"/>
  <c r="B99" i="12"/>
  <c r="Z98" i="12"/>
  <c r="X98" i="12"/>
  <c r="N98" i="12"/>
  <c r="L98" i="12"/>
  <c r="B98" i="12"/>
  <c r="X97" i="12"/>
  <c r="Z97" i="12" s="1"/>
  <c r="N97" i="12"/>
  <c r="L97" i="12"/>
  <c r="B97" i="12"/>
  <c r="X96" i="12"/>
  <c r="Z96" i="12" s="1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X93" i="12"/>
  <c r="Z93" i="12" s="1"/>
  <c r="L93" i="12"/>
  <c r="N93" i="12" s="1"/>
  <c r="B93" i="12"/>
  <c r="Z92" i="12"/>
  <c r="X92" i="12"/>
  <c r="N92" i="12"/>
  <c r="L92" i="12"/>
  <c r="B92" i="12"/>
  <c r="X91" i="12"/>
  <c r="Z91" i="12" s="1"/>
  <c r="N91" i="12"/>
  <c r="L91" i="12"/>
  <c r="B91" i="12"/>
  <c r="Z90" i="12"/>
  <c r="X90" i="12"/>
  <c r="N90" i="12"/>
  <c r="L90" i="12"/>
  <c r="B90" i="12"/>
  <c r="X89" i="12"/>
  <c r="Z89" i="12" s="1"/>
  <c r="L89" i="12"/>
  <c r="N89" i="12" s="1"/>
  <c r="B89" i="12"/>
  <c r="X88" i="12"/>
  <c r="Z88" i="12" s="1"/>
  <c r="N88" i="12"/>
  <c r="L88" i="12"/>
  <c r="B88" i="12"/>
  <c r="Z87" i="12"/>
  <c r="X87" i="12"/>
  <c r="N87" i="12"/>
  <c r="L87" i="12"/>
  <c r="B87" i="12"/>
  <c r="T86" i="12"/>
  <c r="P86" i="12"/>
  <c r="X86" i="12" s="1"/>
  <c r="Z86" i="12" s="1"/>
  <c r="L86" i="12"/>
  <c r="H86" i="12"/>
  <c r="N86" i="12" s="1"/>
  <c r="D86" i="12"/>
  <c r="Z84" i="12"/>
  <c r="T84" i="12"/>
  <c r="P84" i="12"/>
  <c r="X84" i="12" s="1"/>
  <c r="H84" i="12"/>
  <c r="D84" i="12"/>
  <c r="B84" i="12"/>
  <c r="T83" i="12"/>
  <c r="Z83" i="12" s="1"/>
  <c r="P83" i="12"/>
  <c r="X83" i="12" s="1"/>
  <c r="N83" i="12"/>
  <c r="L83" i="12"/>
  <c r="H83" i="12"/>
  <c r="D83" i="12"/>
  <c r="B83" i="12"/>
  <c r="X82" i="12"/>
  <c r="T82" i="12"/>
  <c r="Z82" i="12" s="1"/>
  <c r="P82" i="12"/>
  <c r="N82" i="12"/>
  <c r="H82" i="12"/>
  <c r="D82" i="12"/>
  <c r="L82" i="12" s="1"/>
  <c r="B82" i="12"/>
  <c r="T81" i="12"/>
  <c r="P81" i="12"/>
  <c r="X81" i="12" s="1"/>
  <c r="Z81" i="12" s="1"/>
  <c r="L81" i="12"/>
  <c r="H81" i="12"/>
  <c r="N81" i="12" s="1"/>
  <c r="D81" i="12"/>
  <c r="B81" i="12"/>
  <c r="T80" i="12"/>
  <c r="P80" i="12"/>
  <c r="H80" i="12"/>
  <c r="D80" i="12"/>
  <c r="L80" i="12" s="1"/>
  <c r="N80" i="12" s="1"/>
  <c r="B80" i="12"/>
  <c r="X79" i="12"/>
  <c r="Z79" i="12" s="1"/>
  <c r="T79" i="12"/>
  <c r="P79" i="12"/>
  <c r="H79" i="12"/>
  <c r="N79" i="12" s="1"/>
  <c r="D79" i="12"/>
  <c r="L79" i="12" s="1"/>
  <c r="B79" i="12"/>
  <c r="Z78" i="12"/>
  <c r="T78" i="12"/>
  <c r="P78" i="12"/>
  <c r="X78" i="12" s="1"/>
  <c r="L78" i="12"/>
  <c r="H78" i="12"/>
  <c r="N78" i="12" s="1"/>
  <c r="D78" i="12"/>
  <c r="B78" i="12"/>
  <c r="X77" i="12"/>
  <c r="T77" i="12"/>
  <c r="Z77" i="12" s="1"/>
  <c r="P77" i="12"/>
  <c r="N77" i="12"/>
  <c r="H77" i="12"/>
  <c r="D77" i="12"/>
  <c r="L77" i="12" s="1"/>
  <c r="B77" i="12"/>
  <c r="T76" i="12"/>
  <c r="P76" i="12"/>
  <c r="X76" i="12" s="1"/>
  <c r="Z76" i="12" s="1"/>
  <c r="H76" i="12"/>
  <c r="D76" i="12"/>
  <c r="B76" i="12"/>
  <c r="T75" i="12"/>
  <c r="P75" i="12"/>
  <c r="X75" i="12" s="1"/>
  <c r="L75" i="12"/>
  <c r="N75" i="12" s="1"/>
  <c r="H75" i="12"/>
  <c r="D75" i="12"/>
  <c r="B75" i="12"/>
  <c r="X74" i="12"/>
  <c r="T74" i="12"/>
  <c r="Z74" i="12" s="1"/>
  <c r="P74" i="12"/>
  <c r="N74" i="12"/>
  <c r="H74" i="12"/>
  <c r="D74" i="12"/>
  <c r="L74" i="12" s="1"/>
  <c r="B74" i="12"/>
  <c r="T73" i="12"/>
  <c r="P73" i="12"/>
  <c r="X73" i="12" s="1"/>
  <c r="Z73" i="12" s="1"/>
  <c r="L73" i="12"/>
  <c r="H73" i="12"/>
  <c r="N73" i="12" s="1"/>
  <c r="D73" i="12"/>
  <c r="B73" i="12"/>
  <c r="T72" i="12"/>
  <c r="P72" i="12"/>
  <c r="X72" i="12" s="1"/>
  <c r="H72" i="12"/>
  <c r="D72" i="12"/>
  <c r="L72" i="12" s="1"/>
  <c r="N72" i="12" s="1"/>
  <c r="B72" i="12"/>
  <c r="X71" i="12"/>
  <c r="T71" i="12"/>
  <c r="Z71" i="12" s="1"/>
  <c r="P71" i="12"/>
  <c r="H71" i="12"/>
  <c r="D71" i="12"/>
  <c r="L71" i="12" s="1"/>
  <c r="B71" i="12"/>
  <c r="Z70" i="12"/>
  <c r="T70" i="12"/>
  <c r="X70" i="12" s="1"/>
  <c r="P70" i="12"/>
  <c r="L70" i="12"/>
  <c r="H70" i="12"/>
  <c r="N70" i="12" s="1"/>
  <c r="D70" i="12"/>
  <c r="B70" i="12"/>
  <c r="X69" i="12"/>
  <c r="Z69" i="12" s="1"/>
  <c r="T69" i="12"/>
  <c r="P69" i="12"/>
  <c r="H69" i="12"/>
  <c r="D69" i="12"/>
  <c r="L69" i="12" s="1"/>
  <c r="N69" i="12" s="1"/>
  <c r="B69" i="12"/>
  <c r="T68" i="12"/>
  <c r="P68" i="12"/>
  <c r="X68" i="12" s="1"/>
  <c r="Z68" i="12" s="1"/>
  <c r="H68" i="12"/>
  <c r="N68" i="12" s="1"/>
  <c r="D68" i="12"/>
  <c r="B68" i="12"/>
  <c r="T67" i="12"/>
  <c r="P67" i="12"/>
  <c r="X67" i="12" s="1"/>
  <c r="L67" i="12"/>
  <c r="H67" i="12"/>
  <c r="D67" i="12"/>
  <c r="B67" i="12"/>
  <c r="X66" i="12"/>
  <c r="T66" i="12"/>
  <c r="Z66" i="12" s="1"/>
  <c r="P66" i="12"/>
  <c r="N66" i="12"/>
  <c r="H66" i="12"/>
  <c r="L66" i="12" s="1"/>
  <c r="D66" i="12"/>
  <c r="B66" i="12"/>
  <c r="T65" i="12"/>
  <c r="P65" i="12"/>
  <c r="X65" i="12" s="1"/>
  <c r="Z65" i="12" s="1"/>
  <c r="L65" i="12"/>
  <c r="N65" i="12" s="1"/>
  <c r="H65" i="12"/>
  <c r="D65" i="12"/>
  <c r="B65" i="12"/>
  <c r="T64" i="12"/>
  <c r="P64" i="12"/>
  <c r="X64" i="12" s="1"/>
  <c r="H64" i="12"/>
  <c r="D64" i="12"/>
  <c r="L64" i="12" s="1"/>
  <c r="N64" i="12" s="1"/>
  <c r="B64" i="12"/>
  <c r="X63" i="12"/>
  <c r="T63" i="12"/>
  <c r="Z63" i="12" s="1"/>
  <c r="P63" i="12"/>
  <c r="H63" i="12"/>
  <c r="N63" i="12" s="1"/>
  <c r="D63" i="12"/>
  <c r="L63" i="12" s="1"/>
  <c r="B63" i="12"/>
  <c r="Z62" i="12"/>
  <c r="T62" i="12"/>
  <c r="X62" i="12" s="1"/>
  <c r="P62" i="12"/>
  <c r="L62" i="12"/>
  <c r="H62" i="12"/>
  <c r="N62" i="12" s="1"/>
  <c r="D62" i="12"/>
  <c r="B62" i="12"/>
  <c r="Z61" i="12"/>
  <c r="X61" i="12"/>
  <c r="T61" i="12"/>
  <c r="P61" i="12"/>
  <c r="N61" i="12"/>
  <c r="H61" i="12"/>
  <c r="D61" i="12"/>
  <c r="L61" i="12" s="1"/>
  <c r="B61" i="12"/>
  <c r="T60" i="12"/>
  <c r="P60" i="12"/>
  <c r="X60" i="12" s="1"/>
  <c r="Z60" i="12" s="1"/>
  <c r="H60" i="12"/>
  <c r="D60" i="12"/>
  <c r="B60" i="12"/>
  <c r="T59" i="12"/>
  <c r="Z59" i="12" s="1"/>
  <c r="P59" i="12"/>
  <c r="X59" i="12" s="1"/>
  <c r="L59" i="12"/>
  <c r="H59" i="12"/>
  <c r="N59" i="12" s="1"/>
  <c r="D59" i="12"/>
  <c r="B59" i="12"/>
  <c r="X58" i="12"/>
  <c r="T58" i="12"/>
  <c r="Z58" i="12" s="1"/>
  <c r="P58" i="12"/>
  <c r="N58" i="12"/>
  <c r="H58" i="12"/>
  <c r="L58" i="12" s="1"/>
  <c r="D58" i="12"/>
  <c r="B58" i="12"/>
  <c r="T57" i="12"/>
  <c r="P57" i="12"/>
  <c r="X57" i="12" s="1"/>
  <c r="Z57" i="12" s="1"/>
  <c r="L57" i="12"/>
  <c r="N57" i="12" s="1"/>
  <c r="H57" i="12"/>
  <c r="D57" i="12"/>
  <c r="B57" i="12"/>
  <c r="T56" i="12"/>
  <c r="P56" i="12"/>
  <c r="X56" i="12" s="1"/>
  <c r="H56" i="12"/>
  <c r="D56" i="12"/>
  <c r="L56" i="12" s="1"/>
  <c r="N56" i="12" s="1"/>
  <c r="B56" i="12"/>
  <c r="X55" i="12"/>
  <c r="T55" i="12"/>
  <c r="P55" i="12"/>
  <c r="H55" i="12"/>
  <c r="D55" i="12"/>
  <c r="L55" i="12" s="1"/>
  <c r="B55" i="12"/>
  <c r="T54" i="12"/>
  <c r="X54" i="12" s="1"/>
  <c r="Z54" i="12" s="1"/>
  <c r="P54" i="12"/>
  <c r="L54" i="12"/>
  <c r="H54" i="12"/>
  <c r="N54" i="12" s="1"/>
  <c r="D54" i="12"/>
  <c r="B54" i="12"/>
  <c r="X53" i="12"/>
  <c r="Z53" i="12" s="1"/>
  <c r="T53" i="12"/>
  <c r="P53" i="12"/>
  <c r="H53" i="12"/>
  <c r="D53" i="12"/>
  <c r="L53" i="12" s="1"/>
  <c r="N53" i="12" s="1"/>
  <c r="B53" i="12"/>
  <c r="T52" i="12"/>
  <c r="P52" i="12"/>
  <c r="X52" i="12" s="1"/>
  <c r="Z52" i="12" s="1"/>
  <c r="H52" i="12"/>
  <c r="N52" i="12" s="1"/>
  <c r="D52" i="12"/>
  <c r="L52" i="12" s="1"/>
  <c r="B52" i="12"/>
  <c r="T51" i="12"/>
  <c r="Z51" i="12" s="1"/>
  <c r="P51" i="12"/>
  <c r="X51" i="12" s="1"/>
  <c r="L51" i="12"/>
  <c r="H51" i="12"/>
  <c r="N51" i="12" s="1"/>
  <c r="D51" i="12"/>
  <c r="B51" i="12"/>
  <c r="X50" i="12"/>
  <c r="T50" i="12"/>
  <c r="Z50" i="12" s="1"/>
  <c r="P50" i="12"/>
  <c r="N50" i="12"/>
  <c r="H50" i="12"/>
  <c r="L50" i="12" s="1"/>
  <c r="D50" i="12"/>
  <c r="B50" i="12"/>
  <c r="T49" i="12"/>
  <c r="P49" i="12"/>
  <c r="X49" i="12" s="1"/>
  <c r="Z49" i="12" s="1"/>
  <c r="N49" i="12"/>
  <c r="L49" i="12"/>
  <c r="H49" i="12"/>
  <c r="D49" i="12"/>
  <c r="B49" i="12"/>
  <c r="T48" i="12"/>
  <c r="P48" i="12"/>
  <c r="H48" i="12"/>
  <c r="D48" i="12"/>
  <c r="L48" i="12" s="1"/>
  <c r="N48" i="12" s="1"/>
  <c r="B48" i="12"/>
  <c r="X47" i="12"/>
  <c r="T47" i="12"/>
  <c r="Z47" i="12" s="1"/>
  <c r="P47" i="12"/>
  <c r="H47" i="12"/>
  <c r="N47" i="12" s="1"/>
  <c r="D47" i="12"/>
  <c r="L47" i="12" s="1"/>
  <c r="B47" i="12"/>
  <c r="Z46" i="12"/>
  <c r="T46" i="12"/>
  <c r="X46" i="12" s="1"/>
  <c r="P46" i="12"/>
  <c r="L46" i="12"/>
  <c r="H46" i="12"/>
  <c r="N46" i="12" s="1"/>
  <c r="D46" i="12"/>
  <c r="B46" i="12"/>
  <c r="X45" i="12"/>
  <c r="Z45" i="12" s="1"/>
  <c r="T45" i="12"/>
  <c r="P45" i="12"/>
  <c r="N45" i="12"/>
  <c r="H45" i="12"/>
  <c r="D45" i="12"/>
  <c r="L45" i="12" s="1"/>
  <c r="B45" i="12"/>
  <c r="T44" i="12"/>
  <c r="P44" i="12"/>
  <c r="X44" i="12" s="1"/>
  <c r="Z44" i="12" s="1"/>
  <c r="H44" i="12"/>
  <c r="N44" i="12" s="1"/>
  <c r="D44" i="12"/>
  <c r="B44" i="12"/>
  <c r="T43" i="12"/>
  <c r="P43" i="12"/>
  <c r="X43" i="12" s="1"/>
  <c r="L43" i="12"/>
  <c r="H43" i="12"/>
  <c r="D43" i="12"/>
  <c r="B43" i="12"/>
  <c r="X42" i="12"/>
  <c r="T42" i="12"/>
  <c r="Z42" i="12" s="1"/>
  <c r="P42" i="12"/>
  <c r="H42" i="12"/>
  <c r="L42" i="12" s="1"/>
  <c r="N42" i="12" s="1"/>
  <c r="D42" i="12"/>
  <c r="B42" i="12"/>
  <c r="T41" i="12"/>
  <c r="P41" i="12"/>
  <c r="X41" i="12" s="1"/>
  <c r="Z41" i="12" s="1"/>
  <c r="N41" i="12"/>
  <c r="L41" i="12"/>
  <c r="H41" i="12"/>
  <c r="D41" i="12"/>
  <c r="B41" i="12"/>
  <c r="T40" i="12"/>
  <c r="P40" i="12"/>
  <c r="X40" i="12" s="1"/>
  <c r="H40" i="12"/>
  <c r="D40" i="12"/>
  <c r="L40" i="12" s="1"/>
  <c r="N40" i="12" s="1"/>
  <c r="B40" i="12"/>
  <c r="X39" i="12"/>
  <c r="T39" i="12"/>
  <c r="Z39" i="12" s="1"/>
  <c r="P39" i="12"/>
  <c r="H39" i="12"/>
  <c r="D39" i="12"/>
  <c r="L39" i="12" s="1"/>
  <c r="B39" i="12"/>
  <c r="Z38" i="12"/>
  <c r="T38" i="12"/>
  <c r="X38" i="12" s="1"/>
  <c r="P38" i="12"/>
  <c r="L38" i="12"/>
  <c r="H38" i="12"/>
  <c r="N38" i="12" s="1"/>
  <c r="D38" i="12"/>
  <c r="B38" i="12"/>
  <c r="X37" i="12"/>
  <c r="Z37" i="12" s="1"/>
  <c r="T37" i="12"/>
  <c r="P37" i="12"/>
  <c r="H37" i="12"/>
  <c r="D37" i="12"/>
  <c r="L37" i="12" s="1"/>
  <c r="N37" i="12" s="1"/>
  <c r="B37" i="12"/>
  <c r="T36" i="12"/>
  <c r="P36" i="12"/>
  <c r="X36" i="12" s="1"/>
  <c r="Z36" i="12" s="1"/>
  <c r="H36" i="12"/>
  <c r="N36" i="12" s="1"/>
  <c r="D36" i="12"/>
  <c r="B36" i="12"/>
  <c r="T35" i="12"/>
  <c r="P35" i="12"/>
  <c r="X35" i="12" s="1"/>
  <c r="L35" i="12"/>
  <c r="H35" i="12"/>
  <c r="N35" i="12" s="1"/>
  <c r="D35" i="12"/>
  <c r="B35" i="12"/>
  <c r="X34" i="12"/>
  <c r="T34" i="12"/>
  <c r="Z34" i="12" s="1"/>
  <c r="P34" i="12"/>
  <c r="N34" i="12"/>
  <c r="H34" i="12"/>
  <c r="L34" i="12" s="1"/>
  <c r="D34" i="12"/>
  <c r="B34" i="12"/>
  <c r="Z33" i="12"/>
  <c r="T33" i="12"/>
  <c r="P33" i="12"/>
  <c r="X33" i="12" s="1"/>
  <c r="N33" i="12"/>
  <c r="L33" i="12"/>
  <c r="H33" i="12"/>
  <c r="D33" i="12"/>
  <c r="B33" i="12"/>
  <c r="T32" i="12"/>
  <c r="P32" i="12"/>
  <c r="H32" i="12"/>
  <c r="D32" i="12"/>
  <c r="L32" i="12" s="1"/>
  <c r="N32" i="12" s="1"/>
  <c r="B32" i="12"/>
  <c r="X31" i="12"/>
  <c r="T31" i="12"/>
  <c r="Z31" i="12" s="1"/>
  <c r="P31" i="12"/>
  <c r="H31" i="12"/>
  <c r="N31" i="12" s="1"/>
  <c r="D31" i="12"/>
  <c r="L31" i="12" s="1"/>
  <c r="B31" i="12"/>
  <c r="T30" i="12"/>
  <c r="X30" i="12" s="1"/>
  <c r="Z30" i="12" s="1"/>
  <c r="P30" i="12"/>
  <c r="L30" i="12"/>
  <c r="H30" i="12"/>
  <c r="N30" i="12" s="1"/>
  <c r="D30" i="12"/>
  <c r="B30" i="12"/>
  <c r="X29" i="12"/>
  <c r="Z29" i="12" s="1"/>
  <c r="T29" i="12"/>
  <c r="P29" i="12"/>
  <c r="H29" i="12"/>
  <c r="D29" i="12"/>
  <c r="L29" i="12" s="1"/>
  <c r="N29" i="12" s="1"/>
  <c r="B29" i="12"/>
  <c r="T28" i="12"/>
  <c r="P28" i="12"/>
  <c r="X28" i="12" s="1"/>
  <c r="Z28" i="12" s="1"/>
  <c r="H28" i="12"/>
  <c r="D28" i="12"/>
  <c r="L28" i="12" s="1"/>
  <c r="B28" i="12"/>
  <c r="T27" i="12"/>
  <c r="P27" i="12"/>
  <c r="X27" i="12" s="1"/>
  <c r="L27" i="12"/>
  <c r="H27" i="12"/>
  <c r="D27" i="12"/>
  <c r="B27" i="12"/>
  <c r="X26" i="12"/>
  <c r="T26" i="12"/>
  <c r="Z26" i="12" s="1"/>
  <c r="P26" i="12"/>
  <c r="N26" i="12"/>
  <c r="H26" i="12"/>
  <c r="L26" i="12" s="1"/>
  <c r="D26" i="12"/>
  <c r="B26" i="12"/>
  <c r="T25" i="12"/>
  <c r="P25" i="12"/>
  <c r="X25" i="12" s="1"/>
  <c r="Z25" i="12" s="1"/>
  <c r="N25" i="12"/>
  <c r="L25" i="12"/>
  <c r="H25" i="12"/>
  <c r="D25" i="12"/>
  <c r="B25" i="12"/>
  <c r="T24" i="12"/>
  <c r="P24" i="12"/>
  <c r="H24" i="12"/>
  <c r="D24" i="12"/>
  <c r="L24" i="12" s="1"/>
  <c r="N24" i="12" s="1"/>
  <c r="B24" i="12"/>
  <c r="X23" i="12"/>
  <c r="T23" i="12"/>
  <c r="Z23" i="12" s="1"/>
  <c r="P23" i="12"/>
  <c r="H23" i="12"/>
  <c r="N23" i="12" s="1"/>
  <c r="D23" i="12"/>
  <c r="L23" i="12" s="1"/>
  <c r="B23" i="12"/>
  <c r="Z22" i="12"/>
  <c r="T22" i="12"/>
  <c r="X22" i="12" s="1"/>
  <c r="P22" i="12"/>
  <c r="L22" i="12"/>
  <c r="H22" i="12"/>
  <c r="N22" i="12" s="1"/>
  <c r="D22" i="12"/>
  <c r="B22" i="12"/>
  <c r="X21" i="12"/>
  <c r="Z21" i="12" s="1"/>
  <c r="T21" i="12"/>
  <c r="P21" i="12"/>
  <c r="H21" i="12"/>
  <c r="D21" i="12"/>
  <c r="L21" i="12" s="1"/>
  <c r="N21" i="12" s="1"/>
  <c r="B21" i="12"/>
  <c r="T20" i="12"/>
  <c r="P20" i="12"/>
  <c r="X20" i="12" s="1"/>
  <c r="Z20" i="12" s="1"/>
  <c r="H20" i="12"/>
  <c r="D20" i="12"/>
  <c r="L20" i="12" s="1"/>
  <c r="B20" i="12"/>
  <c r="T19" i="12"/>
  <c r="P19" i="12"/>
  <c r="X19" i="12" s="1"/>
  <c r="L19" i="12"/>
  <c r="H19" i="12"/>
  <c r="D19" i="12"/>
  <c r="B19" i="12"/>
  <c r="X18" i="12"/>
  <c r="T18" i="12"/>
  <c r="Z18" i="12" s="1"/>
  <c r="P18" i="12"/>
  <c r="N18" i="12"/>
  <c r="H18" i="12"/>
  <c r="L18" i="12" s="1"/>
  <c r="D18" i="12"/>
  <c r="B18" i="12"/>
  <c r="T17" i="12"/>
  <c r="P17" i="12"/>
  <c r="X17" i="12" s="1"/>
  <c r="Z17" i="12" s="1"/>
  <c r="N17" i="12"/>
  <c r="L17" i="12"/>
  <c r="H17" i="12"/>
  <c r="D17" i="12"/>
  <c r="B17" i="12"/>
  <c r="T16" i="12"/>
  <c r="P16" i="12"/>
  <c r="X16" i="12" s="1"/>
  <c r="H16" i="12"/>
  <c r="D16" i="12"/>
  <c r="L16" i="12" s="1"/>
  <c r="N16" i="12" s="1"/>
  <c r="B16" i="12"/>
  <c r="X15" i="12"/>
  <c r="T15" i="12"/>
  <c r="P15" i="12"/>
  <c r="H15" i="12"/>
  <c r="D15" i="12"/>
  <c r="L15" i="12" s="1"/>
  <c r="B15" i="12"/>
  <c r="T14" i="12"/>
  <c r="X14" i="12" s="1"/>
  <c r="Z14" i="12" s="1"/>
  <c r="P14" i="12"/>
  <c r="L14" i="12"/>
  <c r="H14" i="12"/>
  <c r="N14" i="12" s="1"/>
  <c r="D14" i="12"/>
  <c r="B14" i="12"/>
  <c r="X13" i="12"/>
  <c r="Z13" i="12" s="1"/>
  <c r="T13" i="12"/>
  <c r="P13" i="12"/>
  <c r="H13" i="12"/>
  <c r="D13" i="12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4" i="11" s="1"/>
  <c r="P12" i="11"/>
  <c r="R36" i="11" s="1"/>
  <c r="H12" i="11"/>
  <c r="D12" i="11"/>
  <c r="F34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2" i="10" s="1"/>
  <c r="P12" i="10"/>
  <c r="R18" i="10" s="1"/>
  <c r="H12" i="10"/>
  <c r="J20" i="10" s="1"/>
  <c r="D12" i="10"/>
  <c r="F22" i="10" s="1"/>
  <c r="D5" i="10"/>
  <c r="D4" i="10"/>
  <c r="Z92" i="9"/>
  <c r="X92" i="9"/>
  <c r="N92" i="9"/>
  <c r="L92" i="9"/>
  <c r="X88" i="9"/>
  <c r="T88" i="9"/>
  <c r="Z88" i="9" s="1"/>
  <c r="P88" i="9"/>
  <c r="L88" i="9"/>
  <c r="H88" i="9"/>
  <c r="N88" i="9" s="1"/>
  <c r="D88" i="9"/>
  <c r="X86" i="9"/>
  <c r="Z86" i="9" s="1"/>
  <c r="N86" i="9"/>
  <c r="L86" i="9"/>
  <c r="B86" i="9"/>
  <c r="Z85" i="9"/>
  <c r="X85" i="9"/>
  <c r="N85" i="9"/>
  <c r="L85" i="9"/>
  <c r="B85" i="9"/>
  <c r="X84" i="9"/>
  <c r="T84" i="9"/>
  <c r="P84" i="9"/>
  <c r="H84" i="9"/>
  <c r="N84" i="9" s="1"/>
  <c r="D84" i="9"/>
  <c r="B84" i="9"/>
  <c r="Z83" i="9"/>
  <c r="X83" i="9"/>
  <c r="N83" i="9"/>
  <c r="L83" i="9"/>
  <c r="B83" i="9"/>
  <c r="T82" i="9"/>
  <c r="P82" i="9"/>
  <c r="H82" i="9"/>
  <c r="N82" i="9" s="1"/>
  <c r="D82" i="9"/>
  <c r="L82" i="9" s="1"/>
  <c r="B82" i="9"/>
  <c r="Z81" i="9"/>
  <c r="X81" i="9"/>
  <c r="N81" i="9"/>
  <c r="L81" i="9"/>
  <c r="B81" i="9"/>
  <c r="X80" i="9"/>
  <c r="Z80" i="9" s="1"/>
  <c r="L80" i="9"/>
  <c r="N80" i="9" s="1"/>
  <c r="B80" i="9"/>
  <c r="T79" i="9"/>
  <c r="P79" i="9"/>
  <c r="X79" i="9" s="1"/>
  <c r="Z79" i="9" s="1"/>
  <c r="N79" i="9"/>
  <c r="L79" i="9"/>
  <c r="H79" i="9"/>
  <c r="D79" i="9"/>
  <c r="B79" i="9"/>
  <c r="Z78" i="9"/>
  <c r="X78" i="9"/>
  <c r="N78" i="9"/>
  <c r="L78" i="9"/>
  <c r="B78" i="9"/>
  <c r="Z77" i="9"/>
  <c r="X77" i="9"/>
  <c r="N77" i="9"/>
  <c r="L77" i="9"/>
  <c r="B77" i="9"/>
  <c r="X76" i="9"/>
  <c r="Z76" i="9" s="1"/>
  <c r="L76" i="9"/>
  <c r="N76" i="9" s="1"/>
  <c r="B76" i="9"/>
  <c r="Z75" i="9"/>
  <c r="X75" i="9"/>
  <c r="N75" i="9"/>
  <c r="L75" i="9"/>
  <c r="B75" i="9"/>
  <c r="Z74" i="9"/>
  <c r="X74" i="9"/>
  <c r="N74" i="9"/>
  <c r="L74" i="9"/>
  <c r="B74" i="9"/>
  <c r="T73" i="9"/>
  <c r="Z73" i="9" s="1"/>
  <c r="P73" i="9"/>
  <c r="X73" i="9" s="1"/>
  <c r="H73" i="9"/>
  <c r="D73" i="9"/>
  <c r="L73" i="9" s="1"/>
  <c r="N73" i="9" s="1"/>
  <c r="B73" i="9"/>
  <c r="Z72" i="9"/>
  <c r="X72" i="9"/>
  <c r="N72" i="9"/>
  <c r="L72" i="9"/>
  <c r="B72" i="9"/>
  <c r="Z71" i="9"/>
  <c r="X71" i="9"/>
  <c r="N71" i="9"/>
  <c r="L71" i="9"/>
  <c r="B71" i="9"/>
  <c r="T70" i="9"/>
  <c r="P70" i="9"/>
  <c r="H70" i="9"/>
  <c r="D70" i="9"/>
  <c r="L70" i="9" s="1"/>
  <c r="N70" i="9" s="1"/>
  <c r="B70" i="9"/>
  <c r="Z69" i="9"/>
  <c r="X69" i="9"/>
  <c r="N69" i="9"/>
  <c r="L69" i="9"/>
  <c r="B69" i="9"/>
  <c r="T68" i="9"/>
  <c r="P68" i="9"/>
  <c r="X68" i="9" s="1"/>
  <c r="Z68" i="9" s="1"/>
  <c r="L68" i="9"/>
  <c r="H68" i="9"/>
  <c r="N68" i="9" s="1"/>
  <c r="D68" i="9"/>
  <c r="B68" i="9"/>
  <c r="Z67" i="9"/>
  <c r="X67" i="9"/>
  <c r="N67" i="9"/>
  <c r="L67" i="9"/>
  <c r="B67" i="9"/>
  <c r="X66" i="9"/>
  <c r="Z66" i="9" s="1"/>
  <c r="L66" i="9"/>
  <c r="N66" i="9" s="1"/>
  <c r="B66" i="9"/>
  <c r="Z65" i="9"/>
  <c r="X65" i="9"/>
  <c r="N65" i="9"/>
  <c r="L65" i="9"/>
  <c r="B65" i="9"/>
  <c r="X64" i="9"/>
  <c r="Z64" i="9" s="1"/>
  <c r="L64" i="9"/>
  <c r="N64" i="9" s="1"/>
  <c r="B64" i="9"/>
  <c r="T63" i="9"/>
  <c r="P63" i="9"/>
  <c r="X63" i="9" s="1"/>
  <c r="Z63" i="9" s="1"/>
  <c r="N63" i="9"/>
  <c r="L63" i="9"/>
  <c r="H63" i="9"/>
  <c r="D63" i="9"/>
  <c r="B63" i="9"/>
  <c r="X62" i="9"/>
  <c r="Z62" i="9" s="1"/>
  <c r="N62" i="9"/>
  <c r="L62" i="9"/>
  <c r="B62" i="9"/>
  <c r="Z61" i="9"/>
  <c r="X61" i="9"/>
  <c r="N61" i="9"/>
  <c r="L61" i="9"/>
  <c r="B61" i="9"/>
  <c r="X60" i="9"/>
  <c r="Z60" i="9" s="1"/>
  <c r="N60" i="9"/>
  <c r="L60" i="9"/>
  <c r="B60" i="9"/>
  <c r="T59" i="9"/>
  <c r="P59" i="9"/>
  <c r="X59" i="9" s="1"/>
  <c r="Z59" i="9" s="1"/>
  <c r="N59" i="9"/>
  <c r="L59" i="9"/>
  <c r="H59" i="9"/>
  <c r="D59" i="9"/>
  <c r="B59" i="9"/>
  <c r="X58" i="9"/>
  <c r="Z58" i="9" s="1"/>
  <c r="N58" i="9"/>
  <c r="L58" i="9"/>
  <c r="B58" i="9"/>
  <c r="Z57" i="9"/>
  <c r="X57" i="9"/>
  <c r="T57" i="9"/>
  <c r="P57" i="9"/>
  <c r="N57" i="9"/>
  <c r="L57" i="9"/>
  <c r="H57" i="9"/>
  <c r="D57" i="9"/>
  <c r="B57" i="9"/>
  <c r="X56" i="9"/>
  <c r="Z56" i="9" s="1"/>
  <c r="N56" i="9"/>
  <c r="L56" i="9"/>
  <c r="B56" i="9"/>
  <c r="Z55" i="9"/>
  <c r="X55" i="9"/>
  <c r="T55" i="9"/>
  <c r="P55" i="9"/>
  <c r="H55" i="9"/>
  <c r="N55" i="9" s="1"/>
  <c r="D55" i="9"/>
  <c r="L55" i="9" s="1"/>
  <c r="B55" i="9"/>
  <c r="Z54" i="9"/>
  <c r="X54" i="9"/>
  <c r="L54" i="9"/>
  <c r="N54" i="9" s="1"/>
  <c r="B54" i="9"/>
  <c r="X53" i="9"/>
  <c r="Z53" i="9" s="1"/>
  <c r="N53" i="9"/>
  <c r="L53" i="9"/>
  <c r="B53" i="9"/>
  <c r="X52" i="9"/>
  <c r="T52" i="9"/>
  <c r="Z52" i="9" s="1"/>
  <c r="P52" i="9"/>
  <c r="H52" i="9"/>
  <c r="D52" i="9"/>
  <c r="B52" i="9"/>
  <c r="Z51" i="9"/>
  <c r="X51" i="9"/>
  <c r="N51" i="9"/>
  <c r="L51" i="9"/>
  <c r="B51" i="9"/>
  <c r="T50" i="9"/>
  <c r="P50" i="9"/>
  <c r="H50" i="9"/>
  <c r="D50" i="9"/>
  <c r="L50" i="9" s="1"/>
  <c r="N50" i="9" s="1"/>
  <c r="B50" i="9"/>
  <c r="Z49" i="9"/>
  <c r="X49" i="9"/>
  <c r="N49" i="9"/>
  <c r="L49" i="9"/>
  <c r="B49" i="9"/>
  <c r="T48" i="9"/>
  <c r="P48" i="9"/>
  <c r="X48" i="9" s="1"/>
  <c r="Z48" i="9" s="1"/>
  <c r="L48" i="9"/>
  <c r="H48" i="9"/>
  <c r="N48" i="9" s="1"/>
  <c r="D48" i="9"/>
  <c r="B48" i="9"/>
  <c r="Z47" i="9"/>
  <c r="X47" i="9"/>
  <c r="N47" i="9"/>
  <c r="L47" i="9"/>
  <c r="B47" i="9"/>
  <c r="X46" i="9"/>
  <c r="T46" i="9"/>
  <c r="P46" i="9"/>
  <c r="L46" i="9"/>
  <c r="H46" i="9"/>
  <c r="N46" i="9" s="1"/>
  <c r="D46" i="9"/>
  <c r="B46" i="9"/>
  <c r="Z45" i="9"/>
  <c r="X45" i="9"/>
  <c r="N45" i="9"/>
  <c r="L45" i="9"/>
  <c r="B45" i="9"/>
  <c r="T44" i="9"/>
  <c r="X44" i="9" s="1"/>
  <c r="P44" i="9"/>
  <c r="H44" i="9"/>
  <c r="D44" i="9"/>
  <c r="B44" i="9"/>
  <c r="Z43" i="9"/>
  <c r="X43" i="9"/>
  <c r="N43" i="9"/>
  <c r="L43" i="9"/>
  <c r="B43" i="9"/>
  <c r="T42" i="9"/>
  <c r="P42" i="9"/>
  <c r="H42" i="9"/>
  <c r="D42" i="9"/>
  <c r="L42" i="9" s="1"/>
  <c r="N42" i="9" s="1"/>
  <c r="B42" i="9"/>
  <c r="Z41" i="9"/>
  <c r="X41" i="9"/>
  <c r="N41" i="9"/>
  <c r="L41" i="9"/>
  <c r="B41" i="9"/>
  <c r="T40" i="9"/>
  <c r="P40" i="9"/>
  <c r="X40" i="9" s="1"/>
  <c r="Z40" i="9" s="1"/>
  <c r="L40" i="9"/>
  <c r="H40" i="9"/>
  <c r="D40" i="9"/>
  <c r="B40" i="9"/>
  <c r="Z39" i="9"/>
  <c r="X39" i="9"/>
  <c r="N39" i="9"/>
  <c r="L39" i="9"/>
  <c r="B39" i="9"/>
  <c r="X38" i="9"/>
  <c r="T38" i="9"/>
  <c r="P38" i="9"/>
  <c r="L38" i="9"/>
  <c r="H38" i="9"/>
  <c r="D38" i="9"/>
  <c r="B38" i="9"/>
  <c r="Z37" i="9"/>
  <c r="X37" i="9"/>
  <c r="N37" i="9"/>
  <c r="L37" i="9"/>
  <c r="B37" i="9"/>
  <c r="X36" i="9"/>
  <c r="Z36" i="9" s="1"/>
  <c r="R36" i="9"/>
  <c r="N36" i="9"/>
  <c r="L36" i="9"/>
  <c r="B36" i="9"/>
  <c r="Z35" i="9"/>
  <c r="X35" i="9"/>
  <c r="N35" i="9"/>
  <c r="L35" i="9"/>
  <c r="B35" i="9"/>
  <c r="X34" i="9"/>
  <c r="Z34" i="9" s="1"/>
  <c r="L34" i="9"/>
  <c r="N34" i="9" s="1"/>
  <c r="B34" i="9"/>
  <c r="Z33" i="9"/>
  <c r="X33" i="9"/>
  <c r="N33" i="9"/>
  <c r="L33" i="9"/>
  <c r="B33" i="9"/>
  <c r="Z32" i="9"/>
  <c r="X32" i="9"/>
  <c r="L32" i="9"/>
  <c r="N32" i="9" s="1"/>
  <c r="B32" i="9"/>
  <c r="T31" i="9"/>
  <c r="P31" i="9"/>
  <c r="X31" i="9" s="1"/>
  <c r="Z31" i="9" s="1"/>
  <c r="N31" i="9"/>
  <c r="L31" i="9"/>
  <c r="H31" i="9"/>
  <c r="D31" i="9"/>
  <c r="B31" i="9"/>
  <c r="X30" i="9"/>
  <c r="Z30" i="9" s="1"/>
  <c r="L30" i="9"/>
  <c r="N30" i="9" s="1"/>
  <c r="B30" i="9"/>
  <c r="Z29" i="9"/>
  <c r="X29" i="9"/>
  <c r="N29" i="9"/>
  <c r="L29" i="9"/>
  <c r="B29" i="9"/>
  <c r="Z28" i="9"/>
  <c r="X28" i="9"/>
  <c r="L28" i="9"/>
  <c r="N28" i="9" s="1"/>
  <c r="B28" i="9"/>
  <c r="Z27" i="9"/>
  <c r="X27" i="9"/>
  <c r="N27" i="9"/>
  <c r="L27" i="9"/>
  <c r="B27" i="9"/>
  <c r="X26" i="9"/>
  <c r="Z26" i="9" s="1"/>
  <c r="L26" i="9"/>
  <c r="N26" i="9" s="1"/>
  <c r="B26" i="9"/>
  <c r="Z25" i="9"/>
  <c r="X25" i="9"/>
  <c r="N25" i="9"/>
  <c r="L25" i="9"/>
  <c r="B25" i="9"/>
  <c r="X24" i="9"/>
  <c r="Z24" i="9" s="1"/>
  <c r="R24" i="9"/>
  <c r="N24" i="9"/>
  <c r="L24" i="9"/>
  <c r="B24" i="9"/>
  <c r="Z23" i="9"/>
  <c r="X23" i="9"/>
  <c r="N23" i="9"/>
  <c r="L23" i="9"/>
  <c r="B23" i="9"/>
  <c r="X22" i="9"/>
  <c r="Z22" i="9" s="1"/>
  <c r="L22" i="9"/>
  <c r="N22" i="9" s="1"/>
  <c r="B22" i="9"/>
  <c r="Z21" i="9"/>
  <c r="X21" i="9"/>
  <c r="N21" i="9"/>
  <c r="L21" i="9"/>
  <c r="B21" i="9"/>
  <c r="Z20" i="9"/>
  <c r="X20" i="9"/>
  <c r="L20" i="9"/>
  <c r="N20" i="9" s="1"/>
  <c r="B20" i="9"/>
  <c r="T19" i="9"/>
  <c r="P19" i="9"/>
  <c r="X19" i="9" s="1"/>
  <c r="Z19" i="9" s="1"/>
  <c r="N19" i="9"/>
  <c r="L19" i="9"/>
  <c r="H19" i="9"/>
  <c r="D19" i="9"/>
  <c r="B19" i="9"/>
  <c r="T18" i="9" a="1"/>
  <c r="T18" i="9" s="1"/>
  <c r="P18" i="9" a="1"/>
  <c r="P18" i="9"/>
  <c r="X18" i="9" s="1"/>
  <c r="H18" i="9" a="1"/>
  <c r="H18" i="9" s="1"/>
  <c r="D18" i="9" a="1"/>
  <c r="D18" i="9" s="1"/>
  <c r="L18" i="9" s="1"/>
  <c r="H16" i="9"/>
  <c r="H90" i="9" s="1"/>
  <c r="V14" i="9"/>
  <c r="T14" i="9"/>
  <c r="Z14" i="9" s="1"/>
  <c r="P14" i="9"/>
  <c r="N14" i="9"/>
  <c r="L14" i="9"/>
  <c r="H14" i="9"/>
  <c r="D14" i="9"/>
  <c r="X12" i="9"/>
  <c r="T12" i="9"/>
  <c r="V23" i="9" s="1"/>
  <c r="P12" i="9"/>
  <c r="H12" i="9"/>
  <c r="J81" i="9" s="1"/>
  <c r="D12" i="9"/>
  <c r="F78" i="9" s="1"/>
  <c r="D4" i="9"/>
  <c r="B39" i="8"/>
  <c r="B38" i="8"/>
  <c r="T34" i="8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D29" i="8"/>
  <c r="T25" i="8"/>
  <c r="Z25" i="8" s="1"/>
  <c r="P25" i="8"/>
  <c r="H25" i="8"/>
  <c r="D25" i="8"/>
  <c r="B25" i="8"/>
  <c r="T24" i="8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D15" i="8"/>
  <c r="T13" i="8"/>
  <c r="Z13" i="8" s="1"/>
  <c r="P13" i="8"/>
  <c r="H13" i="8"/>
  <c r="N13" i="8" s="1"/>
  <c r="D13" i="8"/>
  <c r="B13" i="8"/>
  <c r="T12" i="8"/>
  <c r="V36" i="8" s="1"/>
  <c r="P12" i="8"/>
  <c r="R20" i="8" s="1"/>
  <c r="H12" i="8"/>
  <c r="J36" i="8" s="1"/>
  <c r="D12" i="8"/>
  <c r="F3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4" i="7" s="1"/>
  <c r="P12" i="7"/>
  <c r="H12" i="7"/>
  <c r="J21" i="7" s="1"/>
  <c r="D12" i="7"/>
  <c r="F34" i="7" s="1"/>
  <c r="D5" i="7"/>
  <c r="D4" i="7"/>
  <c r="J31" i="6"/>
  <c r="T29" i="6"/>
  <c r="P29" i="6"/>
  <c r="X29" i="6" s="1"/>
  <c r="Z29" i="6" s="1"/>
  <c r="J29" i="6"/>
  <c r="H29" i="6"/>
  <c r="F29" i="6"/>
  <c r="D29" i="6"/>
  <c r="L29" i="6" s="1"/>
  <c r="X28" i="6"/>
  <c r="Z28" i="6" s="1"/>
  <c r="T28" i="6"/>
  <c r="P28" i="6"/>
  <c r="J28" i="6"/>
  <c r="H28" i="6"/>
  <c r="L28" i="6" s="1"/>
  <c r="D28" i="6"/>
  <c r="J26" i="6"/>
  <c r="F26" i="6"/>
  <c r="Z24" i="6"/>
  <c r="X24" i="6"/>
  <c r="N24" i="6"/>
  <c r="L24" i="6"/>
  <c r="J24" i="6"/>
  <c r="F24" i="6"/>
  <c r="J22" i="6"/>
  <c r="Z20" i="6"/>
  <c r="T20" i="6"/>
  <c r="P20" i="6"/>
  <c r="X20" i="6" s="1"/>
  <c r="J20" i="6"/>
  <c r="H20" i="6"/>
  <c r="N20" i="6" s="1"/>
  <c r="F20" i="6"/>
  <c r="D20" i="6"/>
  <c r="L20" i="6" s="1"/>
  <c r="Z18" i="6"/>
  <c r="X18" i="6"/>
  <c r="T18" i="6"/>
  <c r="R18" i="6"/>
  <c r="P18" i="6"/>
  <c r="J18" i="6"/>
  <c r="H18" i="6"/>
  <c r="L18" i="6" s="1"/>
  <c r="D18" i="6"/>
  <c r="Z16" i="6"/>
  <c r="T16" i="6"/>
  <c r="T22" i="6" s="1"/>
  <c r="J16" i="6"/>
  <c r="F16" i="6"/>
  <c r="D16" i="6"/>
  <c r="D22" i="6" s="1"/>
  <c r="Z14" i="6"/>
  <c r="X14" i="6"/>
  <c r="T14" i="6"/>
  <c r="R14" i="6"/>
  <c r="P14" i="6"/>
  <c r="L14" i="6"/>
  <c r="J14" i="6"/>
  <c r="H14" i="6"/>
  <c r="H16" i="6" s="1"/>
  <c r="D14" i="6"/>
  <c r="Z12" i="6"/>
  <c r="T12" i="6"/>
  <c r="V31" i="6" s="1"/>
  <c r="P12" i="6"/>
  <c r="R29" i="6" s="1"/>
  <c r="N12" i="6"/>
  <c r="L12" i="6"/>
  <c r="H12" i="6"/>
  <c r="D12" i="6"/>
  <c r="F31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D15" i="5"/>
  <c r="T13" i="5"/>
  <c r="Z13" i="5" s="1"/>
  <c r="P13" i="5"/>
  <c r="H13" i="5"/>
  <c r="N13" i="5" s="1"/>
  <c r="D13" i="5"/>
  <c r="B13" i="5"/>
  <c r="T12" i="5"/>
  <c r="V36" i="5" s="1"/>
  <c r="P12" i="5"/>
  <c r="R34" i="5" s="1"/>
  <c r="H12" i="5"/>
  <c r="J20" i="5" s="1"/>
  <c r="D12" i="5"/>
  <c r="F22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D15" i="4"/>
  <c r="T13" i="4"/>
  <c r="Z13" i="4" s="1"/>
  <c r="P13" i="4"/>
  <c r="H13" i="4"/>
  <c r="N13" i="4" s="1"/>
  <c r="D13" i="4"/>
  <c r="B13" i="4"/>
  <c r="T12" i="4"/>
  <c r="V24" i="4" s="1"/>
  <c r="P12" i="4"/>
  <c r="R20" i="4" s="1"/>
  <c r="H12" i="4"/>
  <c r="J20" i="4" s="1"/>
  <c r="D12" i="4"/>
  <c r="F24" i="4" s="1"/>
  <c r="D5" i="4"/>
  <c r="D4" i="4"/>
  <c r="X271" i="3"/>
  <c r="T271" i="3"/>
  <c r="Z271" i="3" s="1"/>
  <c r="P271" i="3"/>
  <c r="H271" i="3"/>
  <c r="N271" i="3" s="1"/>
  <c r="D271" i="3"/>
  <c r="L271" i="3" s="1"/>
  <c r="T270" i="3"/>
  <c r="P270" i="3"/>
  <c r="X270" i="3" s="1"/>
  <c r="Z270" i="3" s="1"/>
  <c r="H270" i="3"/>
  <c r="D270" i="3"/>
  <c r="X266" i="3"/>
  <c r="Z266" i="3" s="1"/>
  <c r="L266" i="3"/>
  <c r="N266" i="3" s="1"/>
  <c r="X262" i="3"/>
  <c r="T262" i="3"/>
  <c r="Z262" i="3" s="1"/>
  <c r="P262" i="3"/>
  <c r="H262" i="3"/>
  <c r="D262" i="3"/>
  <c r="L262" i="3" s="1"/>
  <c r="B262" i="3"/>
  <c r="Z261" i="3"/>
  <c r="X261" i="3"/>
  <c r="T261" i="3"/>
  <c r="P261" i="3"/>
  <c r="L261" i="3"/>
  <c r="H261" i="3"/>
  <c r="N261" i="3" s="1"/>
  <c r="D261" i="3"/>
  <c r="B261" i="3"/>
  <c r="T260" i="3"/>
  <c r="P260" i="3"/>
  <c r="L260" i="3"/>
  <c r="H260" i="3"/>
  <c r="N260" i="3" s="1"/>
  <c r="D260" i="3"/>
  <c r="B260" i="3"/>
  <c r="T259" i="3"/>
  <c r="Z259" i="3" s="1"/>
  <c r="P259" i="3"/>
  <c r="X259" i="3" s="1"/>
  <c r="N259" i="3"/>
  <c r="L259" i="3"/>
  <c r="H259" i="3"/>
  <c r="D259" i="3"/>
  <c r="B259" i="3"/>
  <c r="T258" i="3"/>
  <c r="P258" i="3"/>
  <c r="X258" i="3" s="1"/>
  <c r="Z258" i="3" s="1"/>
  <c r="H258" i="3"/>
  <c r="D258" i="3"/>
  <c r="B258" i="3"/>
  <c r="T257" i="3"/>
  <c r="P257" i="3"/>
  <c r="X257" i="3" s="1"/>
  <c r="Z257" i="3" s="1"/>
  <c r="H257" i="3"/>
  <c r="N257" i="3" s="1"/>
  <c r="D257" i="3"/>
  <c r="L257" i="3" s="1"/>
  <c r="B257" i="3"/>
  <c r="T256" i="3"/>
  <c r="Z256" i="3" s="1"/>
  <c r="P256" i="3"/>
  <c r="X256" i="3" s="1"/>
  <c r="N256" i="3"/>
  <c r="H256" i="3"/>
  <c r="D256" i="3"/>
  <c r="L256" i="3" s="1"/>
  <c r="B256" i="3"/>
  <c r="X255" i="3"/>
  <c r="T255" i="3"/>
  <c r="Z255" i="3" s="1"/>
  <c r="P255" i="3"/>
  <c r="H255" i="3"/>
  <c r="D255" i="3"/>
  <c r="L255" i="3" s="1"/>
  <c r="N255" i="3" s="1"/>
  <c r="B255" i="3"/>
  <c r="H254" i="3"/>
  <c r="X252" i="3"/>
  <c r="Z252" i="3" s="1"/>
  <c r="L252" i="3"/>
  <c r="N252" i="3" s="1"/>
  <c r="B252" i="3"/>
  <c r="Z251" i="3"/>
  <c r="X251" i="3"/>
  <c r="T251" i="3"/>
  <c r="P251" i="3"/>
  <c r="L251" i="3"/>
  <c r="H251" i="3"/>
  <c r="N251" i="3" s="1"/>
  <c r="D251" i="3"/>
  <c r="B251" i="3"/>
  <c r="Z250" i="3"/>
  <c r="X250" i="3"/>
  <c r="N250" i="3"/>
  <c r="L250" i="3"/>
  <c r="B250" i="3"/>
  <c r="X249" i="3"/>
  <c r="Z249" i="3" s="1"/>
  <c r="N249" i="3"/>
  <c r="L249" i="3"/>
  <c r="B249" i="3"/>
  <c r="Z248" i="3"/>
  <c r="X248" i="3"/>
  <c r="N248" i="3"/>
  <c r="L248" i="3"/>
  <c r="B248" i="3"/>
  <c r="Z247" i="3"/>
  <c r="X247" i="3"/>
  <c r="T247" i="3"/>
  <c r="P247" i="3"/>
  <c r="L247" i="3"/>
  <c r="H247" i="3"/>
  <c r="N247" i="3" s="1"/>
  <c r="D247" i="3"/>
  <c r="B247" i="3"/>
  <c r="Z246" i="3"/>
  <c r="X246" i="3"/>
  <c r="N246" i="3"/>
  <c r="L246" i="3"/>
  <c r="B246" i="3"/>
  <c r="X245" i="3"/>
  <c r="T245" i="3"/>
  <c r="Z245" i="3" s="1"/>
  <c r="P245" i="3"/>
  <c r="H245" i="3"/>
  <c r="D245" i="3"/>
  <c r="L245" i="3" s="1"/>
  <c r="N245" i="3" s="1"/>
  <c r="B245" i="3"/>
  <c r="X244" i="3"/>
  <c r="Z244" i="3" s="1"/>
  <c r="N244" i="3"/>
  <c r="L244" i="3"/>
  <c r="B244" i="3"/>
  <c r="Z243" i="3"/>
  <c r="X243" i="3"/>
  <c r="N243" i="3"/>
  <c r="L243" i="3"/>
  <c r="B243" i="3"/>
  <c r="T242" i="3"/>
  <c r="P242" i="3"/>
  <c r="L242" i="3"/>
  <c r="H242" i="3"/>
  <c r="N242" i="3" s="1"/>
  <c r="D242" i="3"/>
  <c r="B242" i="3"/>
  <c r="X241" i="3"/>
  <c r="Z241" i="3" s="1"/>
  <c r="N241" i="3"/>
  <c r="L241" i="3"/>
  <c r="B241" i="3"/>
  <c r="X240" i="3"/>
  <c r="Z240" i="3" s="1"/>
  <c r="N240" i="3"/>
  <c r="L240" i="3"/>
  <c r="B240" i="3"/>
  <c r="Z239" i="3"/>
  <c r="X239" i="3"/>
  <c r="N239" i="3"/>
  <c r="L239" i="3"/>
  <c r="B239" i="3"/>
  <c r="Z238" i="3"/>
  <c r="X238" i="3"/>
  <c r="N238" i="3"/>
  <c r="L238" i="3"/>
  <c r="B238" i="3"/>
  <c r="X237" i="3"/>
  <c r="Z237" i="3" s="1"/>
  <c r="L237" i="3"/>
  <c r="N237" i="3" s="1"/>
  <c r="B237" i="3"/>
  <c r="Z236" i="3"/>
  <c r="X236" i="3"/>
  <c r="L236" i="3"/>
  <c r="N236" i="3" s="1"/>
  <c r="B236" i="3"/>
  <c r="Z235" i="3"/>
  <c r="X235" i="3"/>
  <c r="N235" i="3"/>
  <c r="L235" i="3"/>
  <c r="B235" i="3"/>
  <c r="Z234" i="3"/>
  <c r="X234" i="3"/>
  <c r="N234" i="3"/>
  <c r="L234" i="3"/>
  <c r="B234" i="3"/>
  <c r="X233" i="3"/>
  <c r="Z233" i="3" s="1"/>
  <c r="N233" i="3"/>
  <c r="L233" i="3"/>
  <c r="B233" i="3"/>
  <c r="X232" i="3"/>
  <c r="T232" i="3"/>
  <c r="Z232" i="3" s="1"/>
  <c r="P232" i="3"/>
  <c r="H232" i="3"/>
  <c r="D232" i="3"/>
  <c r="L232" i="3" s="1"/>
  <c r="B232" i="3"/>
  <c r="Z231" i="3"/>
  <c r="X231" i="3"/>
  <c r="N231" i="3"/>
  <c r="L231" i="3"/>
  <c r="B231" i="3"/>
  <c r="Z230" i="3"/>
  <c r="X230" i="3"/>
  <c r="N230" i="3"/>
  <c r="L230" i="3"/>
  <c r="B230" i="3"/>
  <c r="T229" i="3"/>
  <c r="P229" i="3"/>
  <c r="X229" i="3" s="1"/>
  <c r="N229" i="3"/>
  <c r="L229" i="3"/>
  <c r="H229" i="3"/>
  <c r="D229" i="3"/>
  <c r="B229" i="3"/>
  <c r="Z228" i="3"/>
  <c r="X228" i="3"/>
  <c r="L228" i="3"/>
  <c r="N228" i="3" s="1"/>
  <c r="B228" i="3"/>
  <c r="Z227" i="3"/>
  <c r="X227" i="3"/>
  <c r="N227" i="3"/>
  <c r="L227" i="3"/>
  <c r="B227" i="3"/>
  <c r="Z226" i="3"/>
  <c r="X226" i="3"/>
  <c r="N226" i="3"/>
  <c r="L226" i="3"/>
  <c r="B226" i="3"/>
  <c r="X225" i="3"/>
  <c r="Z225" i="3" s="1"/>
  <c r="N225" i="3"/>
  <c r="L225" i="3"/>
  <c r="B225" i="3"/>
  <c r="X224" i="3"/>
  <c r="Z224" i="3" s="1"/>
  <c r="N224" i="3"/>
  <c r="L224" i="3"/>
  <c r="B224" i="3"/>
  <c r="T223" i="3"/>
  <c r="P223" i="3"/>
  <c r="X223" i="3" s="1"/>
  <c r="Z223" i="3" s="1"/>
  <c r="H223" i="3"/>
  <c r="D223" i="3"/>
  <c r="L223" i="3" s="1"/>
  <c r="B223" i="3"/>
  <c r="Z222" i="3"/>
  <c r="X222" i="3"/>
  <c r="N222" i="3"/>
  <c r="L222" i="3"/>
  <c r="B222" i="3"/>
  <c r="X221" i="3"/>
  <c r="Z221" i="3" s="1"/>
  <c r="N221" i="3"/>
  <c r="L221" i="3"/>
  <c r="B221" i="3"/>
  <c r="X220" i="3"/>
  <c r="Z220" i="3" s="1"/>
  <c r="N220" i="3"/>
  <c r="L220" i="3"/>
  <c r="B220" i="3"/>
  <c r="T219" i="3"/>
  <c r="P219" i="3"/>
  <c r="X219" i="3" s="1"/>
  <c r="Z219" i="3" s="1"/>
  <c r="H219" i="3"/>
  <c r="N219" i="3" s="1"/>
  <c r="D219" i="3"/>
  <c r="L219" i="3" s="1"/>
  <c r="B219" i="3"/>
  <c r="Z218" i="3"/>
  <c r="X218" i="3"/>
  <c r="N218" i="3"/>
  <c r="L218" i="3"/>
  <c r="B218" i="3"/>
  <c r="X217" i="3"/>
  <c r="Z217" i="3" s="1"/>
  <c r="L217" i="3"/>
  <c r="N217" i="3" s="1"/>
  <c r="B217" i="3"/>
  <c r="X216" i="3"/>
  <c r="Z216" i="3" s="1"/>
  <c r="N216" i="3"/>
  <c r="L216" i="3"/>
  <c r="B216" i="3"/>
  <c r="Z215" i="3"/>
  <c r="X215" i="3"/>
  <c r="N215" i="3"/>
  <c r="L215" i="3"/>
  <c r="B215" i="3"/>
  <c r="T214" i="3"/>
  <c r="P214" i="3"/>
  <c r="L214" i="3"/>
  <c r="H214" i="3"/>
  <c r="N214" i="3" s="1"/>
  <c r="D214" i="3"/>
  <c r="B214" i="3"/>
  <c r="X213" i="3"/>
  <c r="Z213" i="3" s="1"/>
  <c r="L213" i="3"/>
  <c r="N213" i="3" s="1"/>
  <c r="B213" i="3"/>
  <c r="X212" i="3"/>
  <c r="T212" i="3"/>
  <c r="Z212" i="3" s="1"/>
  <c r="P212" i="3"/>
  <c r="H212" i="3"/>
  <c r="N212" i="3" s="1"/>
  <c r="D212" i="3"/>
  <c r="L212" i="3" s="1"/>
  <c r="B212" i="3"/>
  <c r="Z211" i="3"/>
  <c r="X211" i="3"/>
  <c r="N211" i="3"/>
  <c r="L211" i="3"/>
  <c r="B211" i="3"/>
  <c r="T210" i="3"/>
  <c r="Z210" i="3" s="1"/>
  <c r="P210" i="3"/>
  <c r="X210" i="3" s="1"/>
  <c r="H210" i="3"/>
  <c r="D210" i="3"/>
  <c r="L210" i="3" s="1"/>
  <c r="N210" i="3" s="1"/>
  <c r="B210" i="3"/>
  <c r="Z209" i="3"/>
  <c r="X209" i="3"/>
  <c r="N209" i="3"/>
  <c r="L209" i="3"/>
  <c r="B209" i="3"/>
  <c r="Z208" i="3"/>
  <c r="T208" i="3"/>
  <c r="P208" i="3"/>
  <c r="X208" i="3" s="1"/>
  <c r="H208" i="3"/>
  <c r="N208" i="3" s="1"/>
  <c r="D208" i="3"/>
  <c r="B208" i="3"/>
  <c r="Z207" i="3"/>
  <c r="X207" i="3"/>
  <c r="N207" i="3"/>
  <c r="L207" i="3"/>
  <c r="B207" i="3"/>
  <c r="Z206" i="3"/>
  <c r="X206" i="3"/>
  <c r="N206" i="3"/>
  <c r="L206" i="3"/>
  <c r="B206" i="3"/>
  <c r="X205" i="3"/>
  <c r="T205" i="3"/>
  <c r="Z205" i="3" s="1"/>
  <c r="P205" i="3"/>
  <c r="H205" i="3"/>
  <c r="D205" i="3"/>
  <c r="L205" i="3" s="1"/>
  <c r="N205" i="3" s="1"/>
  <c r="B205" i="3"/>
  <c r="X204" i="3"/>
  <c r="Z204" i="3" s="1"/>
  <c r="L204" i="3"/>
  <c r="N204" i="3" s="1"/>
  <c r="B204" i="3"/>
  <c r="T203" i="3"/>
  <c r="P203" i="3"/>
  <c r="X203" i="3" s="1"/>
  <c r="Z203" i="3" s="1"/>
  <c r="H203" i="3"/>
  <c r="N203" i="3" s="1"/>
  <c r="D203" i="3"/>
  <c r="L203" i="3" s="1"/>
  <c r="B203" i="3"/>
  <c r="Z202" i="3"/>
  <c r="X202" i="3"/>
  <c r="N202" i="3"/>
  <c r="L202" i="3"/>
  <c r="B202" i="3"/>
  <c r="T201" i="3"/>
  <c r="Z201" i="3" s="1"/>
  <c r="P201" i="3"/>
  <c r="X201" i="3" s="1"/>
  <c r="N201" i="3"/>
  <c r="L201" i="3"/>
  <c r="H201" i="3"/>
  <c r="D201" i="3"/>
  <c r="B201" i="3"/>
  <c r="X200" i="3"/>
  <c r="Z200" i="3" s="1"/>
  <c r="L200" i="3"/>
  <c r="N200" i="3" s="1"/>
  <c r="B200" i="3"/>
  <c r="Z199" i="3"/>
  <c r="X199" i="3"/>
  <c r="T199" i="3"/>
  <c r="P199" i="3"/>
  <c r="L199" i="3"/>
  <c r="H199" i="3"/>
  <c r="N199" i="3" s="1"/>
  <c r="D199" i="3"/>
  <c r="B199" i="3"/>
  <c r="Z198" i="3"/>
  <c r="X198" i="3"/>
  <c r="N198" i="3"/>
  <c r="L198" i="3"/>
  <c r="B198" i="3"/>
  <c r="X197" i="3"/>
  <c r="Z197" i="3" s="1"/>
  <c r="L197" i="3"/>
  <c r="N197" i="3" s="1"/>
  <c r="B197" i="3"/>
  <c r="T196" i="3"/>
  <c r="P196" i="3"/>
  <c r="X196" i="3" s="1"/>
  <c r="Z196" i="3" s="1"/>
  <c r="H196" i="3"/>
  <c r="D196" i="3"/>
  <c r="B196" i="3"/>
  <c r="Z195" i="3"/>
  <c r="X195" i="3"/>
  <c r="N195" i="3"/>
  <c r="L195" i="3"/>
  <c r="B195" i="3"/>
  <c r="T194" i="3"/>
  <c r="P194" i="3"/>
  <c r="L194" i="3"/>
  <c r="H194" i="3"/>
  <c r="N194" i="3" s="1"/>
  <c r="D194" i="3"/>
  <c r="B194" i="3"/>
  <c r="X193" i="3"/>
  <c r="Z193" i="3" s="1"/>
  <c r="N193" i="3"/>
  <c r="L193" i="3"/>
  <c r="B193" i="3"/>
  <c r="X192" i="3"/>
  <c r="T192" i="3"/>
  <c r="Z192" i="3" s="1"/>
  <c r="P192" i="3"/>
  <c r="H192" i="3"/>
  <c r="N192" i="3" s="1"/>
  <c r="D192" i="3"/>
  <c r="L192" i="3" s="1"/>
  <c r="B192" i="3"/>
  <c r="Z191" i="3"/>
  <c r="X191" i="3"/>
  <c r="N191" i="3"/>
  <c r="L191" i="3"/>
  <c r="B191" i="3"/>
  <c r="T190" i="3"/>
  <c r="P190" i="3"/>
  <c r="X190" i="3" s="1"/>
  <c r="H190" i="3"/>
  <c r="D190" i="3"/>
  <c r="L190" i="3" s="1"/>
  <c r="N190" i="3" s="1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T187" i="3"/>
  <c r="P187" i="3"/>
  <c r="L187" i="3"/>
  <c r="H187" i="3"/>
  <c r="N187" i="3" s="1"/>
  <c r="D187" i="3"/>
  <c r="B187" i="3"/>
  <c r="Z186" i="3"/>
  <c r="X186" i="3"/>
  <c r="N186" i="3"/>
  <c r="L186" i="3"/>
  <c r="B186" i="3"/>
  <c r="X185" i="3"/>
  <c r="Z185" i="3" s="1"/>
  <c r="L185" i="3"/>
  <c r="N185" i="3" s="1"/>
  <c r="B185" i="3"/>
  <c r="T184" i="3"/>
  <c r="P184" i="3"/>
  <c r="X184" i="3" s="1"/>
  <c r="Z184" i="3" s="1"/>
  <c r="H184" i="3"/>
  <c r="D184" i="3"/>
  <c r="B184" i="3"/>
  <c r="Z183" i="3"/>
  <c r="X183" i="3"/>
  <c r="N183" i="3"/>
  <c r="L183" i="3"/>
  <c r="B183" i="3"/>
  <c r="T182" i="3"/>
  <c r="P182" i="3"/>
  <c r="L182" i="3"/>
  <c r="H182" i="3"/>
  <c r="N182" i="3" s="1"/>
  <c r="D182" i="3"/>
  <c r="B182" i="3"/>
  <c r="X181" i="3"/>
  <c r="Z181" i="3" s="1"/>
  <c r="L181" i="3"/>
  <c r="N181" i="3" s="1"/>
  <c r="B181" i="3"/>
  <c r="X180" i="3"/>
  <c r="Z180" i="3" s="1"/>
  <c r="N180" i="3"/>
  <c r="L180" i="3"/>
  <c r="B180" i="3"/>
  <c r="T179" i="3"/>
  <c r="P179" i="3"/>
  <c r="X179" i="3" s="1"/>
  <c r="Z179" i="3" s="1"/>
  <c r="H179" i="3"/>
  <c r="D179" i="3"/>
  <c r="L179" i="3" s="1"/>
  <c r="B179" i="3"/>
  <c r="Z178" i="3"/>
  <c r="X178" i="3"/>
  <c r="N178" i="3"/>
  <c r="L178" i="3"/>
  <c r="B178" i="3"/>
  <c r="T177" i="3"/>
  <c r="P177" i="3"/>
  <c r="X177" i="3" s="1"/>
  <c r="N177" i="3"/>
  <c r="L177" i="3"/>
  <c r="H177" i="3"/>
  <c r="D177" i="3"/>
  <c r="B177" i="3"/>
  <c r="Z176" i="3"/>
  <c r="X176" i="3"/>
  <c r="L176" i="3"/>
  <c r="N176" i="3" s="1"/>
  <c r="B176" i="3"/>
  <c r="Z175" i="3"/>
  <c r="X175" i="3"/>
  <c r="N175" i="3"/>
  <c r="L175" i="3"/>
  <c r="B175" i="3"/>
  <c r="Z174" i="3"/>
  <c r="X174" i="3"/>
  <c r="N174" i="3"/>
  <c r="L174" i="3"/>
  <c r="B174" i="3"/>
  <c r="X173" i="3"/>
  <c r="Z173" i="3" s="1"/>
  <c r="L173" i="3"/>
  <c r="N173" i="3" s="1"/>
  <c r="B173" i="3"/>
  <c r="X172" i="3"/>
  <c r="Z172" i="3" s="1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X169" i="3"/>
  <c r="T169" i="3"/>
  <c r="Z169" i="3" s="1"/>
  <c r="P169" i="3"/>
  <c r="H169" i="3"/>
  <c r="N169" i="3" s="1"/>
  <c r="D169" i="3"/>
  <c r="L169" i="3" s="1"/>
  <c r="B169" i="3"/>
  <c r="X168" i="3"/>
  <c r="Z168" i="3" s="1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X165" i="3"/>
  <c r="Z165" i="3" s="1"/>
  <c r="L165" i="3"/>
  <c r="N165" i="3" s="1"/>
  <c r="B165" i="3"/>
  <c r="Z164" i="3"/>
  <c r="X164" i="3"/>
  <c r="N164" i="3"/>
  <c r="L164" i="3"/>
  <c r="B164" i="3"/>
  <c r="Z163" i="3"/>
  <c r="X163" i="3"/>
  <c r="N163" i="3"/>
  <c r="L163" i="3"/>
  <c r="B163" i="3"/>
  <c r="Z162" i="3"/>
  <c r="X162" i="3"/>
  <c r="N162" i="3"/>
  <c r="L162" i="3"/>
  <c r="B162" i="3"/>
  <c r="X161" i="3"/>
  <c r="Z161" i="3" s="1"/>
  <c r="L161" i="3"/>
  <c r="N161" i="3" s="1"/>
  <c r="B161" i="3"/>
  <c r="X160" i="3"/>
  <c r="Z160" i="3" s="1"/>
  <c r="N160" i="3"/>
  <c r="L160" i="3"/>
  <c r="B160" i="3"/>
  <c r="Z159" i="3"/>
  <c r="X159" i="3"/>
  <c r="N159" i="3"/>
  <c r="L159" i="3"/>
  <c r="B159" i="3"/>
  <c r="T158" i="3"/>
  <c r="P158" i="3"/>
  <c r="L158" i="3"/>
  <c r="H158" i="3"/>
  <c r="N158" i="3" s="1"/>
  <c r="D158" i="3"/>
  <c r="B158" i="3"/>
  <c r="T157" i="3" a="1"/>
  <c r="T157" i="3" s="1"/>
  <c r="P157" i="3" a="1"/>
  <c r="P157" i="3" s="1"/>
  <c r="X157" i="3" s="1"/>
  <c r="H157" i="3" a="1"/>
  <c r="H157" i="3" s="1"/>
  <c r="D157" i="3" a="1"/>
  <c r="D157" i="3" s="1"/>
  <c r="L157" i="3" s="1"/>
  <c r="Z153" i="3"/>
  <c r="X153" i="3"/>
  <c r="N153" i="3"/>
  <c r="L153" i="3"/>
  <c r="B153" i="3"/>
  <c r="X152" i="3"/>
  <c r="Z152" i="3" s="1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X148" i="3"/>
  <c r="Z148" i="3" s="1"/>
  <c r="L148" i="3"/>
  <c r="N148" i="3" s="1"/>
  <c r="B148" i="3"/>
  <c r="Z147" i="3"/>
  <c r="X147" i="3"/>
  <c r="N147" i="3"/>
  <c r="L147" i="3"/>
  <c r="B147" i="3"/>
  <c r="Z146" i="3"/>
  <c r="X146" i="3"/>
  <c r="N146" i="3"/>
  <c r="L146" i="3"/>
  <c r="B146" i="3"/>
  <c r="X145" i="3"/>
  <c r="Z145" i="3" s="1"/>
  <c r="N145" i="3"/>
  <c r="L145" i="3"/>
  <c r="B145" i="3"/>
  <c r="X144" i="3"/>
  <c r="Z144" i="3" s="1"/>
  <c r="L144" i="3"/>
  <c r="N144" i="3" s="1"/>
  <c r="B144" i="3"/>
  <c r="Z143" i="3"/>
  <c r="X143" i="3"/>
  <c r="L143" i="3"/>
  <c r="N143" i="3" s="1"/>
  <c r="B143" i="3"/>
  <c r="Z142" i="3"/>
  <c r="X142" i="3"/>
  <c r="N142" i="3"/>
  <c r="L142" i="3"/>
  <c r="B142" i="3"/>
  <c r="X141" i="3"/>
  <c r="Z141" i="3" s="1"/>
  <c r="N141" i="3"/>
  <c r="L141" i="3"/>
  <c r="B141" i="3"/>
  <c r="Z140" i="3"/>
  <c r="X140" i="3"/>
  <c r="N140" i="3"/>
  <c r="L140" i="3"/>
  <c r="B140" i="3"/>
  <c r="X139" i="3"/>
  <c r="Z139" i="3" s="1"/>
  <c r="N139" i="3"/>
  <c r="L139" i="3"/>
  <c r="B139" i="3"/>
  <c r="Z138" i="3"/>
  <c r="X138" i="3"/>
  <c r="N138" i="3"/>
  <c r="L138" i="3"/>
  <c r="B138" i="3"/>
  <c r="X137" i="3"/>
  <c r="Z137" i="3" s="1"/>
  <c r="N137" i="3"/>
  <c r="L137" i="3"/>
  <c r="B137" i="3"/>
  <c r="X136" i="3"/>
  <c r="Z136" i="3" s="1"/>
  <c r="L136" i="3"/>
  <c r="N136" i="3" s="1"/>
  <c r="B136" i="3"/>
  <c r="Z135" i="3"/>
  <c r="X135" i="3"/>
  <c r="L135" i="3"/>
  <c r="N135" i="3" s="1"/>
  <c r="B135" i="3"/>
  <c r="Z134" i="3"/>
  <c r="X134" i="3"/>
  <c r="N134" i="3"/>
  <c r="L134" i="3"/>
  <c r="B134" i="3"/>
  <c r="Z133" i="3"/>
  <c r="X133" i="3"/>
  <c r="N133" i="3"/>
  <c r="L133" i="3"/>
  <c r="B133" i="3"/>
  <c r="X132" i="3"/>
  <c r="Z132" i="3" s="1"/>
  <c r="L132" i="3"/>
  <c r="N132" i="3" s="1"/>
  <c r="B132" i="3"/>
  <c r="X131" i="3"/>
  <c r="Z131" i="3" s="1"/>
  <c r="N131" i="3"/>
  <c r="L131" i="3"/>
  <c r="B131" i="3"/>
  <c r="Z130" i="3"/>
  <c r="X130" i="3"/>
  <c r="N130" i="3"/>
  <c r="L130" i="3"/>
  <c r="B130" i="3"/>
  <c r="X129" i="3"/>
  <c r="Z129" i="3" s="1"/>
  <c r="N129" i="3"/>
  <c r="L129" i="3"/>
  <c r="B129" i="3"/>
  <c r="X128" i="3"/>
  <c r="Z128" i="3" s="1"/>
  <c r="L128" i="3"/>
  <c r="N128" i="3" s="1"/>
  <c r="B128" i="3"/>
  <c r="Z127" i="3"/>
  <c r="X127" i="3"/>
  <c r="L127" i="3"/>
  <c r="N127" i="3" s="1"/>
  <c r="B127" i="3"/>
  <c r="Z126" i="3"/>
  <c r="X126" i="3"/>
  <c r="N126" i="3"/>
  <c r="L126" i="3"/>
  <c r="B126" i="3"/>
  <c r="X125" i="3"/>
  <c r="Z125" i="3" s="1"/>
  <c r="L125" i="3"/>
  <c r="N125" i="3" s="1"/>
  <c r="B125" i="3"/>
  <c r="X124" i="3"/>
  <c r="Z124" i="3" s="1"/>
  <c r="L124" i="3"/>
  <c r="N124" i="3" s="1"/>
  <c r="B124" i="3"/>
  <c r="X123" i="3"/>
  <c r="Z123" i="3" s="1"/>
  <c r="N123" i="3"/>
  <c r="L123" i="3"/>
  <c r="B123" i="3"/>
  <c r="Z122" i="3"/>
  <c r="X122" i="3"/>
  <c r="N122" i="3"/>
  <c r="L122" i="3"/>
  <c r="B122" i="3"/>
  <c r="X121" i="3"/>
  <c r="Z121" i="3" s="1"/>
  <c r="N121" i="3"/>
  <c r="L121" i="3"/>
  <c r="B121" i="3"/>
  <c r="X120" i="3"/>
  <c r="Z120" i="3" s="1"/>
  <c r="N120" i="3"/>
  <c r="L120" i="3"/>
  <c r="B120" i="3"/>
  <c r="Z119" i="3"/>
  <c r="X119" i="3"/>
  <c r="L119" i="3"/>
  <c r="N119" i="3" s="1"/>
  <c r="B119" i="3"/>
  <c r="Z118" i="3"/>
  <c r="X118" i="3"/>
  <c r="N118" i="3"/>
  <c r="L118" i="3"/>
  <c r="B118" i="3"/>
  <c r="X117" i="3"/>
  <c r="Z117" i="3" s="1"/>
  <c r="L117" i="3"/>
  <c r="N117" i="3" s="1"/>
  <c r="B117" i="3"/>
  <c r="X116" i="3"/>
  <c r="Z116" i="3" s="1"/>
  <c r="L116" i="3"/>
  <c r="N116" i="3" s="1"/>
  <c r="B116" i="3"/>
  <c r="X115" i="3"/>
  <c r="Z115" i="3" s="1"/>
  <c r="N115" i="3"/>
  <c r="L115" i="3"/>
  <c r="B115" i="3"/>
  <c r="Z114" i="3"/>
  <c r="X114" i="3"/>
  <c r="N114" i="3"/>
  <c r="L114" i="3"/>
  <c r="B114" i="3"/>
  <c r="X113" i="3"/>
  <c r="Z113" i="3" s="1"/>
  <c r="N113" i="3"/>
  <c r="L113" i="3"/>
  <c r="B113" i="3"/>
  <c r="X112" i="3"/>
  <c r="Z112" i="3" s="1"/>
  <c r="N112" i="3"/>
  <c r="L112" i="3"/>
  <c r="B112" i="3"/>
  <c r="Z111" i="3"/>
  <c r="X111" i="3"/>
  <c r="N111" i="3"/>
  <c r="L111" i="3"/>
  <c r="B111" i="3"/>
  <c r="Z110" i="3"/>
  <c r="X110" i="3"/>
  <c r="N110" i="3"/>
  <c r="L110" i="3"/>
  <c r="B110" i="3"/>
  <c r="X109" i="3"/>
  <c r="Z109" i="3" s="1"/>
  <c r="L109" i="3"/>
  <c r="N109" i="3" s="1"/>
  <c r="B109" i="3"/>
  <c r="X108" i="3"/>
  <c r="Z108" i="3" s="1"/>
  <c r="N108" i="3"/>
  <c r="L108" i="3"/>
  <c r="B108" i="3"/>
  <c r="X107" i="3"/>
  <c r="Z107" i="3" s="1"/>
  <c r="N107" i="3"/>
  <c r="L107" i="3"/>
  <c r="B107" i="3"/>
  <c r="Z106" i="3"/>
  <c r="X106" i="3"/>
  <c r="N106" i="3"/>
  <c r="L106" i="3"/>
  <c r="B106" i="3"/>
  <c r="X105" i="3"/>
  <c r="Z105" i="3" s="1"/>
  <c r="L105" i="3"/>
  <c r="N105" i="3" s="1"/>
  <c r="B105" i="3"/>
  <c r="X104" i="3"/>
  <c r="Z104" i="3" s="1"/>
  <c r="L104" i="3"/>
  <c r="N104" i="3" s="1"/>
  <c r="B104" i="3"/>
  <c r="Z103" i="3"/>
  <c r="X103" i="3"/>
  <c r="N103" i="3"/>
  <c r="L103" i="3"/>
  <c r="B103" i="3"/>
  <c r="T102" i="3"/>
  <c r="P102" i="3"/>
  <c r="X102" i="3" s="1"/>
  <c r="L102" i="3"/>
  <c r="N102" i="3" s="1"/>
  <c r="H102" i="3"/>
  <c r="D102" i="3"/>
  <c r="Z100" i="3"/>
  <c r="T100" i="3"/>
  <c r="P100" i="3"/>
  <c r="X100" i="3" s="1"/>
  <c r="N100" i="3"/>
  <c r="H100" i="3"/>
  <c r="D100" i="3"/>
  <c r="L100" i="3" s="1"/>
  <c r="B100" i="3"/>
  <c r="T99" i="3"/>
  <c r="X99" i="3" s="1"/>
  <c r="P99" i="3"/>
  <c r="H99" i="3"/>
  <c r="N99" i="3" s="1"/>
  <c r="D99" i="3"/>
  <c r="L99" i="3" s="1"/>
  <c r="B99" i="3"/>
  <c r="X98" i="3"/>
  <c r="Z98" i="3" s="1"/>
  <c r="T98" i="3"/>
  <c r="P98" i="3"/>
  <c r="H98" i="3"/>
  <c r="N98" i="3" s="1"/>
  <c r="D98" i="3"/>
  <c r="B98" i="3"/>
  <c r="Z97" i="3"/>
  <c r="X97" i="3"/>
  <c r="T97" i="3"/>
  <c r="P97" i="3"/>
  <c r="N97" i="3"/>
  <c r="L97" i="3"/>
  <c r="H97" i="3"/>
  <c r="D97" i="3"/>
  <c r="B97" i="3"/>
  <c r="T96" i="3"/>
  <c r="P96" i="3"/>
  <c r="X96" i="3" s="1"/>
  <c r="Z96" i="3" s="1"/>
  <c r="H96" i="3"/>
  <c r="D96" i="3"/>
  <c r="L96" i="3" s="1"/>
  <c r="N96" i="3" s="1"/>
  <c r="B96" i="3"/>
  <c r="T95" i="3"/>
  <c r="Z95" i="3" s="1"/>
  <c r="P95" i="3"/>
  <c r="X95" i="3" s="1"/>
  <c r="H95" i="3"/>
  <c r="L95" i="3" s="1"/>
  <c r="D95" i="3"/>
  <c r="B95" i="3"/>
  <c r="T94" i="3"/>
  <c r="P94" i="3"/>
  <c r="L94" i="3"/>
  <c r="N94" i="3" s="1"/>
  <c r="H94" i="3"/>
  <c r="D94" i="3"/>
  <c r="B94" i="3"/>
  <c r="X93" i="3"/>
  <c r="Z93" i="3" s="1"/>
  <c r="T93" i="3"/>
  <c r="P93" i="3"/>
  <c r="N93" i="3"/>
  <c r="L93" i="3"/>
  <c r="H93" i="3"/>
  <c r="D93" i="3"/>
  <c r="B93" i="3"/>
  <c r="Z92" i="3"/>
  <c r="T92" i="3"/>
  <c r="P92" i="3"/>
  <c r="X92" i="3" s="1"/>
  <c r="N92" i="3"/>
  <c r="H92" i="3"/>
  <c r="D92" i="3"/>
  <c r="L92" i="3" s="1"/>
  <c r="B92" i="3"/>
  <c r="T91" i="3"/>
  <c r="X91" i="3" s="1"/>
  <c r="P91" i="3"/>
  <c r="H91" i="3"/>
  <c r="N91" i="3" s="1"/>
  <c r="D91" i="3"/>
  <c r="L91" i="3" s="1"/>
  <c r="B91" i="3"/>
  <c r="X90" i="3"/>
  <c r="Z90" i="3" s="1"/>
  <c r="T90" i="3"/>
  <c r="P90" i="3"/>
  <c r="H90" i="3"/>
  <c r="D90" i="3"/>
  <c r="B90" i="3"/>
  <c r="Z89" i="3"/>
  <c r="X89" i="3"/>
  <c r="T89" i="3"/>
  <c r="P89" i="3"/>
  <c r="L89" i="3"/>
  <c r="N89" i="3" s="1"/>
  <c r="H89" i="3"/>
  <c r="D89" i="3"/>
  <c r="B89" i="3"/>
  <c r="T88" i="3"/>
  <c r="P88" i="3"/>
  <c r="X88" i="3" s="1"/>
  <c r="Z88" i="3" s="1"/>
  <c r="H88" i="3"/>
  <c r="D88" i="3"/>
  <c r="L88" i="3" s="1"/>
  <c r="N88" i="3" s="1"/>
  <c r="B88" i="3"/>
  <c r="T87" i="3"/>
  <c r="Z87" i="3" s="1"/>
  <c r="P87" i="3"/>
  <c r="X87" i="3" s="1"/>
  <c r="H87" i="3"/>
  <c r="L87" i="3" s="1"/>
  <c r="D87" i="3"/>
  <c r="B87" i="3"/>
  <c r="T86" i="3"/>
  <c r="P86" i="3"/>
  <c r="L86" i="3"/>
  <c r="N86" i="3" s="1"/>
  <c r="H86" i="3"/>
  <c r="D86" i="3"/>
  <c r="B86" i="3"/>
  <c r="X85" i="3"/>
  <c r="Z85" i="3" s="1"/>
  <c r="T85" i="3"/>
  <c r="P85" i="3"/>
  <c r="N85" i="3"/>
  <c r="L85" i="3"/>
  <c r="H85" i="3"/>
  <c r="D85" i="3"/>
  <c r="B85" i="3"/>
  <c r="T84" i="3"/>
  <c r="P84" i="3"/>
  <c r="X84" i="3" s="1"/>
  <c r="Z84" i="3" s="1"/>
  <c r="H84" i="3"/>
  <c r="D84" i="3"/>
  <c r="L84" i="3" s="1"/>
  <c r="N84" i="3" s="1"/>
  <c r="B84" i="3"/>
  <c r="T83" i="3"/>
  <c r="X83" i="3" s="1"/>
  <c r="P83" i="3"/>
  <c r="H83" i="3"/>
  <c r="N83" i="3" s="1"/>
  <c r="D83" i="3"/>
  <c r="L83" i="3" s="1"/>
  <c r="B83" i="3"/>
  <c r="X82" i="3"/>
  <c r="Z82" i="3" s="1"/>
  <c r="T82" i="3"/>
  <c r="P82" i="3"/>
  <c r="H82" i="3"/>
  <c r="D82" i="3"/>
  <c r="B82" i="3"/>
  <c r="Z81" i="3"/>
  <c r="X81" i="3"/>
  <c r="T81" i="3"/>
  <c r="P81" i="3"/>
  <c r="L81" i="3"/>
  <c r="N81" i="3" s="1"/>
  <c r="H81" i="3"/>
  <c r="D81" i="3"/>
  <c r="B81" i="3"/>
  <c r="T80" i="3"/>
  <c r="P80" i="3"/>
  <c r="X80" i="3" s="1"/>
  <c r="Z80" i="3" s="1"/>
  <c r="H80" i="3"/>
  <c r="D80" i="3"/>
  <c r="L80" i="3" s="1"/>
  <c r="N80" i="3" s="1"/>
  <c r="B80" i="3"/>
  <c r="T79" i="3"/>
  <c r="Z79" i="3" s="1"/>
  <c r="P79" i="3"/>
  <c r="X79" i="3" s="1"/>
  <c r="H79" i="3"/>
  <c r="L79" i="3" s="1"/>
  <c r="D79" i="3"/>
  <c r="B79" i="3"/>
  <c r="T78" i="3"/>
  <c r="P78" i="3"/>
  <c r="N78" i="3"/>
  <c r="L78" i="3"/>
  <c r="H78" i="3"/>
  <c r="D78" i="3"/>
  <c r="B78" i="3"/>
  <c r="X77" i="3"/>
  <c r="Z77" i="3" s="1"/>
  <c r="T77" i="3"/>
  <c r="P77" i="3"/>
  <c r="N77" i="3"/>
  <c r="L77" i="3"/>
  <c r="H77" i="3"/>
  <c r="D77" i="3"/>
  <c r="B77" i="3"/>
  <c r="T76" i="3"/>
  <c r="P76" i="3"/>
  <c r="X76" i="3" s="1"/>
  <c r="Z76" i="3" s="1"/>
  <c r="H76" i="3"/>
  <c r="D76" i="3"/>
  <c r="L76" i="3" s="1"/>
  <c r="N76" i="3" s="1"/>
  <c r="B76" i="3"/>
  <c r="T75" i="3"/>
  <c r="X75" i="3" s="1"/>
  <c r="P75" i="3"/>
  <c r="H75" i="3"/>
  <c r="D75" i="3"/>
  <c r="L75" i="3" s="1"/>
  <c r="B75" i="3"/>
  <c r="X74" i="3"/>
  <c r="Z74" i="3" s="1"/>
  <c r="T74" i="3"/>
  <c r="P74" i="3"/>
  <c r="H74" i="3"/>
  <c r="D74" i="3"/>
  <c r="B74" i="3"/>
  <c r="Z73" i="3"/>
  <c r="X73" i="3"/>
  <c r="T73" i="3"/>
  <c r="P73" i="3"/>
  <c r="N73" i="3"/>
  <c r="L73" i="3"/>
  <c r="H73" i="3"/>
  <c r="D73" i="3"/>
  <c r="B73" i="3"/>
  <c r="T72" i="3"/>
  <c r="P72" i="3"/>
  <c r="X72" i="3" s="1"/>
  <c r="Z72" i="3" s="1"/>
  <c r="H72" i="3"/>
  <c r="D72" i="3"/>
  <c r="L72" i="3" s="1"/>
  <c r="N72" i="3" s="1"/>
  <c r="B72" i="3"/>
  <c r="T71" i="3"/>
  <c r="Z71" i="3" s="1"/>
  <c r="P71" i="3"/>
  <c r="X71" i="3" s="1"/>
  <c r="H71" i="3"/>
  <c r="L71" i="3" s="1"/>
  <c r="D71" i="3"/>
  <c r="B71" i="3"/>
  <c r="T70" i="3"/>
  <c r="P70" i="3"/>
  <c r="L70" i="3"/>
  <c r="N70" i="3" s="1"/>
  <c r="H70" i="3"/>
  <c r="D70" i="3"/>
  <c r="B70" i="3"/>
  <c r="X69" i="3"/>
  <c r="Z69" i="3" s="1"/>
  <c r="T69" i="3"/>
  <c r="P69" i="3"/>
  <c r="N69" i="3"/>
  <c r="L69" i="3"/>
  <c r="H69" i="3"/>
  <c r="D69" i="3"/>
  <c r="B69" i="3"/>
  <c r="T68" i="3"/>
  <c r="P68" i="3"/>
  <c r="X68" i="3" s="1"/>
  <c r="Z68" i="3" s="1"/>
  <c r="H68" i="3"/>
  <c r="D68" i="3"/>
  <c r="L68" i="3" s="1"/>
  <c r="N68" i="3" s="1"/>
  <c r="B68" i="3"/>
  <c r="T67" i="3"/>
  <c r="X67" i="3" s="1"/>
  <c r="P67" i="3"/>
  <c r="H67" i="3"/>
  <c r="D67" i="3"/>
  <c r="L67" i="3" s="1"/>
  <c r="B67" i="3"/>
  <c r="X66" i="3"/>
  <c r="Z66" i="3" s="1"/>
  <c r="T66" i="3"/>
  <c r="P66" i="3"/>
  <c r="H66" i="3"/>
  <c r="D66" i="3"/>
  <c r="B66" i="3"/>
  <c r="Z65" i="3"/>
  <c r="X65" i="3"/>
  <c r="T65" i="3"/>
  <c r="P65" i="3"/>
  <c r="L65" i="3"/>
  <c r="N65" i="3" s="1"/>
  <c r="H65" i="3"/>
  <c r="D65" i="3"/>
  <c r="B65" i="3"/>
  <c r="T64" i="3"/>
  <c r="P64" i="3"/>
  <c r="X64" i="3" s="1"/>
  <c r="Z64" i="3" s="1"/>
  <c r="H64" i="3"/>
  <c r="D64" i="3"/>
  <c r="L64" i="3" s="1"/>
  <c r="N64" i="3" s="1"/>
  <c r="B64" i="3"/>
  <c r="T63" i="3"/>
  <c r="Z63" i="3" s="1"/>
  <c r="P63" i="3"/>
  <c r="X63" i="3" s="1"/>
  <c r="H63" i="3"/>
  <c r="L63" i="3" s="1"/>
  <c r="D63" i="3"/>
  <c r="B63" i="3"/>
  <c r="T62" i="3"/>
  <c r="X62" i="3" s="1"/>
  <c r="P62" i="3"/>
  <c r="L62" i="3"/>
  <c r="N62" i="3" s="1"/>
  <c r="H62" i="3"/>
  <c r="D62" i="3"/>
  <c r="B62" i="3"/>
  <c r="X61" i="3"/>
  <c r="Z61" i="3" s="1"/>
  <c r="T61" i="3"/>
  <c r="P61" i="3"/>
  <c r="N61" i="3"/>
  <c r="L61" i="3"/>
  <c r="H61" i="3"/>
  <c r="D61" i="3"/>
  <c r="B61" i="3"/>
  <c r="T60" i="3"/>
  <c r="P60" i="3"/>
  <c r="X60" i="3" s="1"/>
  <c r="Z60" i="3" s="1"/>
  <c r="H60" i="3"/>
  <c r="D60" i="3"/>
  <c r="L60" i="3" s="1"/>
  <c r="N60" i="3" s="1"/>
  <c r="B60" i="3"/>
  <c r="T59" i="3"/>
  <c r="X59" i="3" s="1"/>
  <c r="P59" i="3"/>
  <c r="H59" i="3"/>
  <c r="D59" i="3"/>
  <c r="L59" i="3" s="1"/>
  <c r="B59" i="3"/>
  <c r="X58" i="3"/>
  <c r="Z58" i="3" s="1"/>
  <c r="T58" i="3"/>
  <c r="P58" i="3"/>
  <c r="H58" i="3"/>
  <c r="D58" i="3"/>
  <c r="B58" i="3"/>
  <c r="Z57" i="3"/>
  <c r="X57" i="3"/>
  <c r="T57" i="3"/>
  <c r="P57" i="3"/>
  <c r="N57" i="3"/>
  <c r="L57" i="3"/>
  <c r="H57" i="3"/>
  <c r="D57" i="3"/>
  <c r="B57" i="3"/>
  <c r="T56" i="3"/>
  <c r="P56" i="3"/>
  <c r="X56" i="3" s="1"/>
  <c r="Z56" i="3" s="1"/>
  <c r="N56" i="3"/>
  <c r="H56" i="3"/>
  <c r="D56" i="3"/>
  <c r="L56" i="3" s="1"/>
  <c r="B56" i="3"/>
  <c r="T55" i="3"/>
  <c r="P55" i="3"/>
  <c r="X55" i="3" s="1"/>
  <c r="H55" i="3"/>
  <c r="L55" i="3" s="1"/>
  <c r="D55" i="3"/>
  <c r="B55" i="3"/>
  <c r="T54" i="3"/>
  <c r="P54" i="3"/>
  <c r="N54" i="3"/>
  <c r="L54" i="3"/>
  <c r="H54" i="3"/>
  <c r="D54" i="3"/>
  <c r="B54" i="3"/>
  <c r="X53" i="3"/>
  <c r="Z53" i="3" s="1"/>
  <c r="T53" i="3"/>
  <c r="P53" i="3"/>
  <c r="N53" i="3"/>
  <c r="L53" i="3"/>
  <c r="H53" i="3"/>
  <c r="D53" i="3"/>
  <c r="B53" i="3"/>
  <c r="T52" i="3"/>
  <c r="P52" i="3"/>
  <c r="X52" i="3" s="1"/>
  <c r="Z52" i="3" s="1"/>
  <c r="H52" i="3"/>
  <c r="D52" i="3"/>
  <c r="L52" i="3" s="1"/>
  <c r="N52" i="3" s="1"/>
  <c r="B52" i="3"/>
  <c r="T51" i="3"/>
  <c r="X51" i="3" s="1"/>
  <c r="P51" i="3"/>
  <c r="H51" i="3"/>
  <c r="D51" i="3"/>
  <c r="L51" i="3" s="1"/>
  <c r="B51" i="3"/>
  <c r="X50" i="3"/>
  <c r="Z50" i="3" s="1"/>
  <c r="T50" i="3"/>
  <c r="P50" i="3"/>
  <c r="H50" i="3"/>
  <c r="N50" i="3" s="1"/>
  <c r="D50" i="3"/>
  <c r="B50" i="3"/>
  <c r="Z49" i="3"/>
  <c r="X49" i="3"/>
  <c r="T49" i="3"/>
  <c r="P49" i="3"/>
  <c r="N49" i="3"/>
  <c r="L49" i="3"/>
  <c r="H49" i="3"/>
  <c r="D49" i="3"/>
  <c r="B49" i="3"/>
  <c r="T48" i="3"/>
  <c r="P48" i="3"/>
  <c r="X48" i="3" s="1"/>
  <c r="Z48" i="3" s="1"/>
  <c r="H48" i="3"/>
  <c r="D48" i="3"/>
  <c r="L48" i="3" s="1"/>
  <c r="N48" i="3" s="1"/>
  <c r="B48" i="3"/>
  <c r="T47" i="3"/>
  <c r="Z47" i="3" s="1"/>
  <c r="P47" i="3"/>
  <c r="X47" i="3" s="1"/>
  <c r="H47" i="3"/>
  <c r="L47" i="3" s="1"/>
  <c r="D47" i="3"/>
  <c r="B47" i="3"/>
  <c r="T46" i="3"/>
  <c r="P46" i="3"/>
  <c r="N46" i="3"/>
  <c r="L46" i="3"/>
  <c r="H46" i="3"/>
  <c r="D46" i="3"/>
  <c r="B46" i="3"/>
  <c r="X45" i="3"/>
  <c r="Z45" i="3" s="1"/>
  <c r="T45" i="3"/>
  <c r="P45" i="3"/>
  <c r="N45" i="3"/>
  <c r="L45" i="3"/>
  <c r="H45" i="3"/>
  <c r="D45" i="3"/>
  <c r="B45" i="3"/>
  <c r="T44" i="3"/>
  <c r="P44" i="3"/>
  <c r="X44" i="3" s="1"/>
  <c r="Z44" i="3" s="1"/>
  <c r="H44" i="3"/>
  <c r="D44" i="3"/>
  <c r="L44" i="3" s="1"/>
  <c r="N44" i="3" s="1"/>
  <c r="B44" i="3"/>
  <c r="T43" i="3"/>
  <c r="X43" i="3" s="1"/>
  <c r="P43" i="3"/>
  <c r="H43" i="3"/>
  <c r="D43" i="3"/>
  <c r="L43" i="3" s="1"/>
  <c r="B43" i="3"/>
  <c r="X42" i="3"/>
  <c r="Z42" i="3" s="1"/>
  <c r="T42" i="3"/>
  <c r="P42" i="3"/>
  <c r="H42" i="3"/>
  <c r="D42" i="3"/>
  <c r="B42" i="3"/>
  <c r="Z41" i="3"/>
  <c r="X41" i="3"/>
  <c r="T41" i="3"/>
  <c r="P41" i="3"/>
  <c r="L41" i="3"/>
  <c r="N41" i="3" s="1"/>
  <c r="H41" i="3"/>
  <c r="D41" i="3"/>
  <c r="B41" i="3"/>
  <c r="T40" i="3"/>
  <c r="P40" i="3"/>
  <c r="X40" i="3" s="1"/>
  <c r="Z40" i="3" s="1"/>
  <c r="N40" i="3"/>
  <c r="H40" i="3"/>
  <c r="D40" i="3"/>
  <c r="L40" i="3" s="1"/>
  <c r="B40" i="3"/>
  <c r="T39" i="3"/>
  <c r="P39" i="3"/>
  <c r="X39" i="3" s="1"/>
  <c r="H39" i="3"/>
  <c r="D39" i="3"/>
  <c r="B39" i="3"/>
  <c r="T38" i="3"/>
  <c r="P38" i="3"/>
  <c r="L38" i="3"/>
  <c r="N38" i="3" s="1"/>
  <c r="H38" i="3"/>
  <c r="D38" i="3"/>
  <c r="B38" i="3"/>
  <c r="X37" i="3"/>
  <c r="Z37" i="3" s="1"/>
  <c r="T37" i="3"/>
  <c r="P37" i="3"/>
  <c r="N37" i="3"/>
  <c r="L37" i="3"/>
  <c r="H37" i="3"/>
  <c r="D37" i="3"/>
  <c r="B37" i="3"/>
  <c r="T36" i="3"/>
  <c r="P36" i="3"/>
  <c r="X36" i="3" s="1"/>
  <c r="Z36" i="3" s="1"/>
  <c r="N36" i="3"/>
  <c r="H36" i="3"/>
  <c r="D36" i="3"/>
  <c r="L36" i="3" s="1"/>
  <c r="B36" i="3"/>
  <c r="T35" i="3"/>
  <c r="P35" i="3"/>
  <c r="H35" i="3"/>
  <c r="D35" i="3"/>
  <c r="L35" i="3" s="1"/>
  <c r="B35" i="3"/>
  <c r="X34" i="3"/>
  <c r="Z34" i="3" s="1"/>
  <c r="T34" i="3"/>
  <c r="P34" i="3"/>
  <c r="H34" i="3"/>
  <c r="L34" i="3" s="1"/>
  <c r="D34" i="3"/>
  <c r="B34" i="3"/>
  <c r="Z33" i="3"/>
  <c r="X33" i="3"/>
  <c r="T33" i="3"/>
  <c r="P33" i="3"/>
  <c r="N33" i="3"/>
  <c r="L33" i="3"/>
  <c r="H33" i="3"/>
  <c r="D33" i="3"/>
  <c r="B33" i="3"/>
  <c r="T32" i="3"/>
  <c r="P32" i="3"/>
  <c r="X32" i="3" s="1"/>
  <c r="Z32" i="3" s="1"/>
  <c r="H32" i="3"/>
  <c r="D32" i="3"/>
  <c r="L32" i="3" s="1"/>
  <c r="N32" i="3" s="1"/>
  <c r="B32" i="3"/>
  <c r="T31" i="3"/>
  <c r="Z31" i="3" s="1"/>
  <c r="P31" i="3"/>
  <c r="X31" i="3" s="1"/>
  <c r="H31" i="3"/>
  <c r="D31" i="3"/>
  <c r="B31" i="3"/>
  <c r="T30" i="3"/>
  <c r="X30" i="3" s="1"/>
  <c r="P30" i="3"/>
  <c r="L30" i="3"/>
  <c r="N30" i="3" s="1"/>
  <c r="H30" i="3"/>
  <c r="D30" i="3"/>
  <c r="B30" i="3"/>
  <c r="X29" i="3"/>
  <c r="Z29" i="3" s="1"/>
  <c r="T29" i="3"/>
  <c r="P29" i="3"/>
  <c r="N29" i="3"/>
  <c r="L29" i="3"/>
  <c r="H29" i="3"/>
  <c r="D29" i="3"/>
  <c r="B29" i="3"/>
  <c r="T28" i="3"/>
  <c r="P28" i="3"/>
  <c r="X28" i="3" s="1"/>
  <c r="Z28" i="3" s="1"/>
  <c r="H28" i="3"/>
  <c r="D28" i="3"/>
  <c r="L28" i="3" s="1"/>
  <c r="N28" i="3" s="1"/>
  <c r="B28" i="3"/>
  <c r="T27" i="3"/>
  <c r="X27" i="3" s="1"/>
  <c r="P27" i="3"/>
  <c r="H27" i="3"/>
  <c r="D27" i="3"/>
  <c r="L27" i="3" s="1"/>
  <c r="B27" i="3"/>
  <c r="X26" i="3"/>
  <c r="Z26" i="3" s="1"/>
  <c r="T26" i="3"/>
  <c r="P26" i="3"/>
  <c r="H26" i="3"/>
  <c r="N26" i="3" s="1"/>
  <c r="D26" i="3"/>
  <c r="B26" i="3"/>
  <c r="Z25" i="3"/>
  <c r="X25" i="3"/>
  <c r="T25" i="3"/>
  <c r="P25" i="3"/>
  <c r="N25" i="3"/>
  <c r="L25" i="3"/>
  <c r="H25" i="3"/>
  <c r="D25" i="3"/>
  <c r="B25" i="3"/>
  <c r="T24" i="3"/>
  <c r="P24" i="3"/>
  <c r="X24" i="3" s="1"/>
  <c r="Z24" i="3" s="1"/>
  <c r="H24" i="3"/>
  <c r="D24" i="3"/>
  <c r="L24" i="3" s="1"/>
  <c r="N24" i="3" s="1"/>
  <c r="B24" i="3"/>
  <c r="T23" i="3"/>
  <c r="P23" i="3"/>
  <c r="X23" i="3" s="1"/>
  <c r="H23" i="3"/>
  <c r="D23" i="3"/>
  <c r="B23" i="3"/>
  <c r="T22" i="3"/>
  <c r="P22" i="3"/>
  <c r="L22" i="3"/>
  <c r="N22" i="3" s="1"/>
  <c r="H22" i="3"/>
  <c r="D22" i="3"/>
  <c r="B22" i="3"/>
  <c r="X21" i="3"/>
  <c r="Z21" i="3" s="1"/>
  <c r="T21" i="3"/>
  <c r="P21" i="3"/>
  <c r="N21" i="3"/>
  <c r="L21" i="3"/>
  <c r="H21" i="3"/>
  <c r="D21" i="3"/>
  <c r="B21" i="3"/>
  <c r="T20" i="3"/>
  <c r="P20" i="3"/>
  <c r="X20" i="3" s="1"/>
  <c r="Z20" i="3" s="1"/>
  <c r="H20" i="3"/>
  <c r="D20" i="3"/>
  <c r="L20" i="3" s="1"/>
  <c r="N20" i="3" s="1"/>
  <c r="B20" i="3"/>
  <c r="T19" i="3"/>
  <c r="P19" i="3"/>
  <c r="X19" i="3" s="1"/>
  <c r="H19" i="3"/>
  <c r="D19" i="3"/>
  <c r="L19" i="3" s="1"/>
  <c r="B19" i="3"/>
  <c r="X18" i="3"/>
  <c r="T18" i="3"/>
  <c r="Z18" i="3" s="1"/>
  <c r="P18" i="3"/>
  <c r="H18" i="3"/>
  <c r="D18" i="3"/>
  <c r="B18" i="3"/>
  <c r="Z17" i="3"/>
  <c r="X17" i="3"/>
  <c r="T17" i="3"/>
  <c r="P17" i="3"/>
  <c r="N17" i="3"/>
  <c r="L17" i="3"/>
  <c r="H17" i="3"/>
  <c r="D17" i="3"/>
  <c r="B17" i="3"/>
  <c r="T16" i="3"/>
  <c r="P16" i="3"/>
  <c r="X16" i="3" s="1"/>
  <c r="Z16" i="3" s="1"/>
  <c r="H16" i="3"/>
  <c r="D16" i="3"/>
  <c r="L16" i="3" s="1"/>
  <c r="N16" i="3" s="1"/>
  <c r="B16" i="3"/>
  <c r="T15" i="3"/>
  <c r="P15" i="3"/>
  <c r="X15" i="3" s="1"/>
  <c r="H15" i="3"/>
  <c r="N15" i="3" s="1"/>
  <c r="D15" i="3"/>
  <c r="L15" i="3" s="1"/>
  <c r="B15" i="3"/>
  <c r="T14" i="3"/>
  <c r="X14" i="3" s="1"/>
  <c r="P14" i="3"/>
  <c r="L14" i="3"/>
  <c r="H14" i="3"/>
  <c r="H12" i="3" s="1"/>
  <c r="D14" i="3"/>
  <c r="B14" i="3"/>
  <c r="X13" i="3"/>
  <c r="Z13" i="3" s="1"/>
  <c r="T13" i="3"/>
  <c r="P13" i="3"/>
  <c r="N13" i="3"/>
  <c r="L13" i="3"/>
  <c r="H13" i="3"/>
  <c r="D13" i="3"/>
  <c r="B13" i="3"/>
  <c r="P12" i="3"/>
  <c r="R271" i="3" s="1"/>
  <c r="D4" i="3"/>
  <c r="X24" i="38" l="1"/>
  <c r="X24" i="13"/>
  <c r="X24" i="16"/>
  <c r="X16" i="30"/>
  <c r="L24" i="30"/>
  <c r="X24" i="32"/>
  <c r="X21" i="33"/>
  <c r="L29" i="33"/>
  <c r="L34" i="33"/>
  <c r="X33" i="20"/>
  <c r="X24" i="26"/>
  <c r="L22" i="29"/>
  <c r="L22" i="33"/>
  <c r="L24" i="37"/>
  <c r="L25" i="16"/>
  <c r="X13" i="20"/>
  <c r="X29" i="5"/>
  <c r="L15" i="24"/>
  <c r="L29" i="24"/>
  <c r="X21" i="37"/>
  <c r="L24" i="38"/>
  <c r="L13" i="44"/>
  <c r="L25" i="44"/>
  <c r="L20" i="50"/>
  <c r="X24" i="50"/>
  <c r="X13" i="52"/>
  <c r="X25" i="52"/>
  <c r="L22" i="98"/>
  <c r="X33" i="33"/>
  <c r="L16" i="37"/>
  <c r="X22" i="37"/>
  <c r="X33" i="50"/>
  <c r="X20" i="52"/>
  <c r="L22" i="52"/>
  <c r="L24" i="22"/>
  <c r="L13" i="26"/>
  <c r="X25" i="29"/>
  <c r="X22" i="30"/>
  <c r="X16" i="32"/>
  <c r="L13" i="52"/>
  <c r="L21" i="19"/>
  <c r="X25" i="4"/>
  <c r="X33" i="4"/>
  <c r="L22" i="24"/>
  <c r="L13" i="29"/>
  <c r="X20" i="37"/>
  <c r="Z12" i="8"/>
  <c r="X25" i="14"/>
  <c r="L34" i="4"/>
  <c r="L34" i="8"/>
  <c r="X16" i="10"/>
  <c r="L16" i="14"/>
  <c r="L16" i="17"/>
  <c r="X22" i="17"/>
  <c r="L20" i="19"/>
  <c r="X24" i="19"/>
  <c r="X25" i="32"/>
  <c r="L24" i="44"/>
  <c r="X16" i="46"/>
  <c r="X29" i="17"/>
  <c r="X29" i="49"/>
  <c r="X24" i="37"/>
  <c r="X25" i="43"/>
  <c r="L33" i="24"/>
  <c r="X15" i="4"/>
  <c r="X15" i="8"/>
  <c r="L34" i="13"/>
  <c r="X21" i="16"/>
  <c r="L29" i="16"/>
  <c r="L34" i="16"/>
  <c r="X16" i="17"/>
  <c r="X13" i="41"/>
  <c r="L20" i="46"/>
  <c r="X34" i="35"/>
  <c r="L25" i="40"/>
  <c r="X33" i="44"/>
  <c r="L21" i="46"/>
  <c r="L25" i="53"/>
  <c r="L29" i="17"/>
  <c r="X13" i="24"/>
  <c r="L22" i="5"/>
  <c r="L33" i="8"/>
  <c r="X34" i="11"/>
  <c r="X15" i="13"/>
  <c r="L13" i="20"/>
  <c r="L33" i="20"/>
  <c r="X15" i="22"/>
  <c r="X24" i="22"/>
  <c r="X16" i="24"/>
  <c r="L13" i="35"/>
  <c r="X33" i="40"/>
  <c r="X21" i="46"/>
  <c r="L34" i="46"/>
  <c r="X13" i="49"/>
  <c r="F36" i="49"/>
  <c r="X15" i="50"/>
  <c r="L24" i="52"/>
  <c r="L15" i="7"/>
  <c r="X21" i="7"/>
  <c r="X29" i="23"/>
  <c r="X34" i="23"/>
  <c r="L20" i="29"/>
  <c r="X15" i="44"/>
  <c r="X24" i="52"/>
  <c r="L21" i="5"/>
  <c r="X33" i="10"/>
  <c r="X22" i="13"/>
  <c r="L13" i="14"/>
  <c r="L25" i="14"/>
  <c r="L25" i="17"/>
  <c r="L15" i="19"/>
  <c r="L29" i="19"/>
  <c r="J18" i="26"/>
  <c r="X21" i="26"/>
  <c r="X29" i="29"/>
  <c r="X34" i="29"/>
  <c r="X34" i="33"/>
  <c r="X16" i="35"/>
  <c r="X16" i="38"/>
  <c r="V22" i="38"/>
  <c r="X25" i="38"/>
  <c r="L29" i="41"/>
  <c r="L34" i="41"/>
  <c r="L25" i="43"/>
  <c r="L22" i="46"/>
  <c r="X15" i="47"/>
  <c r="X29" i="47"/>
  <c r="L20" i="49"/>
  <c r="X21" i="49"/>
  <c r="L16" i="50"/>
  <c r="X22" i="50"/>
  <c r="L20" i="53"/>
  <c r="L16" i="5"/>
  <c r="X21" i="8"/>
  <c r="X20" i="35"/>
  <c r="L22" i="35"/>
  <c r="X29" i="50"/>
  <c r="L33" i="53"/>
  <c r="X13" i="98"/>
  <c r="V31" i="17"/>
  <c r="L33" i="44"/>
  <c r="R15" i="4"/>
  <c r="F21" i="5"/>
  <c r="L15" i="11"/>
  <c r="L15" i="23"/>
  <c r="L29" i="23"/>
  <c r="L15" i="16"/>
  <c r="L13" i="22"/>
  <c r="X20" i="22"/>
  <c r="X22" i="29"/>
  <c r="L21" i="35"/>
  <c r="L25" i="41"/>
  <c r="L33" i="41"/>
  <c r="L25" i="10"/>
  <c r="X29" i="13"/>
  <c r="N12" i="20"/>
  <c r="R16" i="20"/>
  <c r="L25" i="4"/>
  <c r="X13" i="8"/>
  <c r="X25" i="8"/>
  <c r="L16" i="10"/>
  <c r="X22" i="10"/>
  <c r="F25" i="10"/>
  <c r="L33" i="10"/>
  <c r="L22" i="11"/>
  <c r="X20" i="13"/>
  <c r="X22" i="22"/>
  <c r="X13" i="99"/>
  <c r="L25" i="100"/>
  <c r="L33" i="100"/>
  <c r="L34" i="5"/>
  <c r="L13" i="7"/>
  <c r="X29" i="7"/>
  <c r="L33" i="13"/>
  <c r="L22" i="16"/>
  <c r="X29" i="16"/>
  <c r="L34" i="17"/>
  <c r="X24" i="20"/>
  <c r="L21" i="22"/>
  <c r="F20" i="24"/>
  <c r="L21" i="27"/>
  <c r="X21" i="29"/>
  <c r="L15" i="40"/>
  <c r="X21" i="40"/>
  <c r="X29" i="43"/>
  <c r="V18" i="46"/>
  <c r="L24" i="46"/>
  <c r="X13" i="47"/>
  <c r="L21" i="47"/>
  <c r="X21" i="50"/>
  <c r="X22" i="52"/>
  <c r="F18" i="5"/>
  <c r="X33" i="7"/>
  <c r="X24" i="8"/>
  <c r="L20" i="16"/>
  <c r="R21" i="16"/>
  <c r="L25" i="19"/>
  <c r="X29" i="30"/>
  <c r="X20" i="49"/>
  <c r="L22" i="49"/>
  <c r="X34" i="49"/>
  <c r="X24" i="53"/>
  <c r="L29" i="53"/>
  <c r="L24" i="98"/>
  <c r="X33" i="98"/>
  <c r="X24" i="99"/>
  <c r="X16" i="100"/>
  <c r="L13" i="8"/>
  <c r="X29" i="8"/>
  <c r="L21" i="10"/>
  <c r="L34" i="11"/>
  <c r="X15" i="16"/>
  <c r="X13" i="17"/>
  <c r="L21" i="17"/>
  <c r="X25" i="17"/>
  <c r="V29" i="17"/>
  <c r="X34" i="17"/>
  <c r="L29" i="20"/>
  <c r="L34" i="20"/>
  <c r="L24" i="26"/>
  <c r="X13" i="27"/>
  <c r="L22" i="30"/>
  <c r="X20" i="32"/>
  <c r="L22" i="32"/>
  <c r="X22" i="33"/>
  <c r="L33" i="33"/>
  <c r="X16" i="37"/>
  <c r="L21" i="37"/>
  <c r="X13" i="38"/>
  <c r="L21" i="38"/>
  <c r="X29" i="41"/>
  <c r="L33" i="43"/>
  <c r="L22" i="44"/>
  <c r="L24" i="47"/>
  <c r="L16" i="49"/>
  <c r="X12" i="52"/>
  <c r="L20" i="52"/>
  <c r="X21" i="52"/>
  <c r="X20" i="53"/>
  <c r="X21" i="98"/>
  <c r="L15" i="100"/>
  <c r="X21" i="100"/>
  <c r="L29" i="100"/>
  <c r="L34" i="100"/>
  <c r="X34" i="8"/>
  <c r="V25" i="17"/>
  <c r="L22" i="20"/>
  <c r="X29" i="32"/>
  <c r="L20" i="33"/>
  <c r="L13" i="98"/>
  <c r="L16" i="99"/>
  <c r="X34" i="100"/>
  <c r="V27" i="17"/>
  <c r="D18" i="30"/>
  <c r="D27" i="30" s="1"/>
  <c r="L21" i="32"/>
  <c r="R22" i="32"/>
  <c r="F20" i="33"/>
  <c r="R15" i="37"/>
  <c r="Z12" i="38"/>
  <c r="L15" i="43"/>
  <c r="L33" i="46"/>
  <c r="L15" i="49"/>
  <c r="L34" i="52"/>
  <c r="X22" i="11"/>
  <c r="J33" i="14"/>
  <c r="J15" i="19"/>
  <c r="J22" i="20"/>
  <c r="X21" i="30"/>
  <c r="P18" i="32"/>
  <c r="P27" i="32" s="1"/>
  <c r="X15" i="38"/>
  <c r="X24" i="43"/>
  <c r="L13" i="47"/>
  <c r="X20" i="47"/>
  <c r="F34" i="52"/>
  <c r="N12" i="5"/>
  <c r="X13" i="7"/>
  <c r="L16" i="7"/>
  <c r="X24" i="10"/>
  <c r="L34" i="10"/>
  <c r="X13" i="11"/>
  <c r="X21" i="14"/>
  <c r="Z25" i="14"/>
  <c r="L33" i="16"/>
  <c r="T18" i="17"/>
  <c r="T27" i="17" s="1"/>
  <c r="Z27" i="17" s="1"/>
  <c r="X20" i="17"/>
  <c r="X29" i="19"/>
  <c r="X34" i="19"/>
  <c r="X22" i="20"/>
  <c r="L25" i="23"/>
  <c r="V29" i="23"/>
  <c r="X21" i="24"/>
  <c r="L33" i="26"/>
  <c r="X20" i="27"/>
  <c r="X34" i="27"/>
  <c r="L16" i="29"/>
  <c r="R21" i="30"/>
  <c r="L29" i="30"/>
  <c r="L20" i="32"/>
  <c r="L13" i="33"/>
  <c r="X13" i="35"/>
  <c r="L13" i="38"/>
  <c r="X20" i="38"/>
  <c r="L22" i="38"/>
  <c r="X34" i="38"/>
  <c r="L13" i="40"/>
  <c r="L22" i="40"/>
  <c r="X33" i="41"/>
  <c r="L15" i="44"/>
  <c r="X21" i="44"/>
  <c r="L15" i="46"/>
  <c r="X24" i="49"/>
  <c r="X13" i="50"/>
  <c r="X29" i="52"/>
  <c r="L24" i="53"/>
  <c r="X33" i="53"/>
  <c r="L25" i="98"/>
  <c r="L33" i="98"/>
  <c r="R36" i="98"/>
  <c r="N12" i="99"/>
  <c r="L15" i="99"/>
  <c r="V34" i="19"/>
  <c r="V31" i="19"/>
  <c r="T18" i="19"/>
  <c r="T27" i="19" s="1"/>
  <c r="V29" i="19"/>
  <c r="V36" i="19"/>
  <c r="V27" i="19"/>
  <c r="X13" i="4"/>
  <c r="X20" i="4"/>
  <c r="L13" i="5"/>
  <c r="L20" i="5"/>
  <c r="X22" i="5"/>
  <c r="F34" i="5"/>
  <c r="X15" i="7"/>
  <c r="L20" i="7"/>
  <c r="L29" i="7"/>
  <c r="X20" i="8"/>
  <c r="L22" i="8"/>
  <c r="X33" i="8"/>
  <c r="L13" i="10"/>
  <c r="L24" i="10"/>
  <c r="V20" i="11"/>
  <c r="N12" i="13"/>
  <c r="L15" i="13"/>
  <c r="R24" i="13"/>
  <c r="X33" i="13"/>
  <c r="X20" i="14"/>
  <c r="X13" i="16"/>
  <c r="L16" i="16"/>
  <c r="X25" i="16"/>
  <c r="L13" i="17"/>
  <c r="Z12" i="19"/>
  <c r="R16" i="13"/>
  <c r="N12" i="4"/>
  <c r="X13" i="5"/>
  <c r="F16" i="5"/>
  <c r="X25" i="5"/>
  <c r="L22" i="7"/>
  <c r="L34" i="7"/>
  <c r="L29" i="13"/>
  <c r="J29" i="14"/>
  <c r="R24" i="16"/>
  <c r="L22" i="17"/>
  <c r="L13" i="19"/>
  <c r="V18" i="19"/>
  <c r="R20" i="22"/>
  <c r="R29" i="22"/>
  <c r="R18" i="22"/>
  <c r="R33" i="22"/>
  <c r="R15" i="22"/>
  <c r="R24" i="22"/>
  <c r="X12" i="22"/>
  <c r="R36" i="22"/>
  <c r="R22" i="22"/>
  <c r="R34" i="23"/>
  <c r="R36" i="23"/>
  <c r="R29" i="23"/>
  <c r="R18" i="23"/>
  <c r="R15" i="23"/>
  <c r="R16" i="23"/>
  <c r="X12" i="23"/>
  <c r="R20" i="23"/>
  <c r="L15" i="33"/>
  <c r="V24" i="35"/>
  <c r="V16" i="35"/>
  <c r="L29" i="10"/>
  <c r="Z12" i="11"/>
  <c r="V16" i="11"/>
  <c r="R18" i="13"/>
  <c r="R22" i="13"/>
  <c r="V34" i="17"/>
  <c r="X15" i="19"/>
  <c r="H18" i="4"/>
  <c r="H27" i="4" s="1"/>
  <c r="X16" i="4"/>
  <c r="X24" i="5"/>
  <c r="X33" i="5"/>
  <c r="F36" i="5"/>
  <c r="L25" i="7"/>
  <c r="N12" i="8"/>
  <c r="X16" i="8"/>
  <c r="L12" i="10"/>
  <c r="L15" i="10"/>
  <c r="F29" i="10"/>
  <c r="X21" i="11"/>
  <c r="V22" i="11"/>
  <c r="L13" i="13"/>
  <c r="X21" i="13"/>
  <c r="L25" i="13"/>
  <c r="X16" i="14"/>
  <c r="X22" i="14"/>
  <c r="X29" i="14"/>
  <c r="X34" i="14"/>
  <c r="R16" i="16"/>
  <c r="X33" i="17"/>
  <c r="V36" i="17"/>
  <c r="Z15" i="19"/>
  <c r="J18" i="30"/>
  <c r="J16" i="30"/>
  <c r="V21" i="33"/>
  <c r="V25" i="33"/>
  <c r="V36" i="33"/>
  <c r="J15" i="4"/>
  <c r="L33" i="4"/>
  <c r="X16" i="5"/>
  <c r="X16" i="7"/>
  <c r="X22" i="7"/>
  <c r="F15" i="10"/>
  <c r="L13" i="11"/>
  <c r="L24" i="11"/>
  <c r="J21" i="14"/>
  <c r="V22" i="17"/>
  <c r="L13" i="4"/>
  <c r="X21" i="4"/>
  <c r="L24" i="4"/>
  <c r="X15" i="5"/>
  <c r="X12" i="7"/>
  <c r="X25" i="7"/>
  <c r="L15" i="8"/>
  <c r="L16" i="11"/>
  <c r="X20" i="11"/>
  <c r="L16" i="13"/>
  <c r="L20" i="13"/>
  <c r="X25" i="13"/>
  <c r="J15" i="14"/>
  <c r="J36" i="14"/>
  <c r="L13" i="16"/>
  <c r="R18" i="16"/>
  <c r="V21" i="17"/>
  <c r="L24" i="17"/>
  <c r="V33" i="17"/>
  <c r="L16" i="19"/>
  <c r="R25" i="22"/>
  <c r="V24" i="32"/>
  <c r="V34" i="32"/>
  <c r="V20" i="32"/>
  <c r="V33" i="32"/>
  <c r="V29" i="50"/>
  <c r="F15" i="23"/>
  <c r="V31" i="23"/>
  <c r="V22" i="24"/>
  <c r="L13" i="27"/>
  <c r="X15" i="27"/>
  <c r="F21" i="27"/>
  <c r="R18" i="29"/>
  <c r="F15" i="30"/>
  <c r="X20" i="30"/>
  <c r="F24" i="30"/>
  <c r="R29" i="30"/>
  <c r="F29" i="33"/>
  <c r="J33" i="35"/>
  <c r="X13" i="37"/>
  <c r="F22" i="37"/>
  <c r="R33" i="37"/>
  <c r="X24" i="40"/>
  <c r="F21" i="41"/>
  <c r="L12" i="43"/>
  <c r="F34" i="43"/>
  <c r="X13" i="46"/>
  <c r="T18" i="47"/>
  <c r="T27" i="47" s="1"/>
  <c r="T31" i="47" s="1"/>
  <c r="T36" i="47" s="1"/>
  <c r="Z36" i="47" s="1"/>
  <c r="J25" i="49"/>
  <c r="R15" i="50"/>
  <c r="F20" i="52"/>
  <c r="X16" i="53"/>
  <c r="L15" i="98"/>
  <c r="L29" i="98"/>
  <c r="R33" i="98"/>
  <c r="J22" i="99"/>
  <c r="X15" i="20"/>
  <c r="J18" i="20"/>
  <c r="R22" i="20"/>
  <c r="X21" i="22"/>
  <c r="F27" i="23"/>
  <c r="L33" i="23"/>
  <c r="X25" i="24"/>
  <c r="R20" i="30"/>
  <c r="L13" i="32"/>
  <c r="R29" i="32"/>
  <c r="R21" i="33"/>
  <c r="J27" i="35"/>
  <c r="V15" i="37"/>
  <c r="D18" i="37"/>
  <c r="D27" i="37" s="1"/>
  <c r="R29" i="37"/>
  <c r="V16" i="38"/>
  <c r="R20" i="43"/>
  <c r="X29" i="44"/>
  <c r="R22" i="47"/>
  <c r="R21" i="52"/>
  <c r="L33" i="52"/>
  <c r="X15" i="98"/>
  <c r="R16" i="98"/>
  <c r="R16" i="99"/>
  <c r="L22" i="19"/>
  <c r="L20" i="20"/>
  <c r="X21" i="20"/>
  <c r="X29" i="20"/>
  <c r="F34" i="20"/>
  <c r="V20" i="22"/>
  <c r="V34" i="23"/>
  <c r="X20" i="26"/>
  <c r="L22" i="26"/>
  <c r="J36" i="27"/>
  <c r="F20" i="29"/>
  <c r="R16" i="30"/>
  <c r="L16" i="32"/>
  <c r="R25" i="32"/>
  <c r="R15" i="33"/>
  <c r="R16" i="33"/>
  <c r="F22" i="35"/>
  <c r="P18" i="37"/>
  <c r="P27" i="37" s="1"/>
  <c r="R25" i="37"/>
  <c r="R15" i="38"/>
  <c r="R16" i="40"/>
  <c r="L13" i="41"/>
  <c r="J15" i="41"/>
  <c r="L20" i="41"/>
  <c r="X21" i="41"/>
  <c r="J25" i="41"/>
  <c r="F33" i="43"/>
  <c r="J16" i="46"/>
  <c r="V21" i="46"/>
  <c r="J34" i="47"/>
  <c r="F34" i="49"/>
  <c r="V15" i="50"/>
  <c r="V18" i="50"/>
  <c r="V34" i="50"/>
  <c r="X15" i="53"/>
  <c r="N33" i="53"/>
  <c r="R15" i="98"/>
  <c r="R20" i="98"/>
  <c r="R29" i="98"/>
  <c r="R15" i="99"/>
  <c r="L22" i="100"/>
  <c r="V16" i="22"/>
  <c r="P18" i="23"/>
  <c r="L21" i="23"/>
  <c r="X22" i="23"/>
  <c r="F25" i="23"/>
  <c r="X24" i="24"/>
  <c r="F27" i="24"/>
  <c r="F22" i="30"/>
  <c r="R20" i="33"/>
  <c r="F16" i="35"/>
  <c r="F21" i="35"/>
  <c r="F22" i="43"/>
  <c r="X34" i="46"/>
  <c r="R21" i="47"/>
  <c r="L21" i="49"/>
  <c r="F22" i="49"/>
  <c r="L29" i="49"/>
  <c r="H18" i="53"/>
  <c r="H27" i="53" s="1"/>
  <c r="J18" i="98"/>
  <c r="X24" i="98"/>
  <c r="R22" i="99"/>
  <c r="F18" i="100"/>
  <c r="F31" i="20"/>
  <c r="V15" i="22"/>
  <c r="L22" i="22"/>
  <c r="L29" i="26"/>
  <c r="R24" i="32"/>
  <c r="D18" i="33"/>
  <c r="J24" i="33"/>
  <c r="F15" i="37"/>
  <c r="F33" i="37"/>
  <c r="R18" i="38"/>
  <c r="X15" i="40"/>
  <c r="X22" i="40"/>
  <c r="X29" i="40"/>
  <c r="X20" i="41"/>
  <c r="V21" i="41"/>
  <c r="L13" i="43"/>
  <c r="D18" i="43"/>
  <c r="F29" i="43"/>
  <c r="Z12" i="46"/>
  <c r="F21" i="49"/>
  <c r="F29" i="49"/>
  <c r="F33" i="49"/>
  <c r="V33" i="50"/>
  <c r="F15" i="52"/>
  <c r="X33" i="52"/>
  <c r="P18" i="53"/>
  <c r="P27" i="53" s="1"/>
  <c r="L21" i="53"/>
  <c r="X22" i="53"/>
  <c r="P18" i="98"/>
  <c r="P27" i="98" s="1"/>
  <c r="R24" i="98"/>
  <c r="X25" i="98"/>
  <c r="J34" i="98"/>
  <c r="X25" i="99"/>
  <c r="X33" i="99"/>
  <c r="L20" i="100"/>
  <c r="R20" i="20"/>
  <c r="L20" i="22"/>
  <c r="J24" i="22"/>
  <c r="L20" i="23"/>
  <c r="V33" i="23"/>
  <c r="D18" i="29"/>
  <c r="D27" i="29" s="1"/>
  <c r="P18" i="30"/>
  <c r="P27" i="30" s="1"/>
  <c r="L12" i="33"/>
  <c r="L16" i="33"/>
  <c r="R18" i="33"/>
  <c r="J16" i="35"/>
  <c r="F29" i="37"/>
  <c r="R15" i="43"/>
  <c r="X22" i="43"/>
  <c r="X12" i="47"/>
  <c r="X16" i="47"/>
  <c r="V20" i="47"/>
  <c r="V25" i="47"/>
  <c r="X33" i="47"/>
  <c r="F20" i="49"/>
  <c r="J22" i="49"/>
  <c r="R16" i="52"/>
  <c r="F22" i="52"/>
  <c r="V18" i="98"/>
  <c r="X25" i="19"/>
  <c r="X25" i="20"/>
  <c r="J36" i="20"/>
  <c r="N12" i="22"/>
  <c r="F20" i="22"/>
  <c r="J22" i="22"/>
  <c r="X25" i="22"/>
  <c r="V31" i="22"/>
  <c r="X21" i="23"/>
  <c r="X25" i="23"/>
  <c r="L20" i="24"/>
  <c r="F21" i="24"/>
  <c r="L15" i="26"/>
  <c r="L25" i="26"/>
  <c r="L22" i="27"/>
  <c r="J34" i="27"/>
  <c r="R20" i="29"/>
  <c r="X24" i="29"/>
  <c r="L34" i="29"/>
  <c r="L16" i="30"/>
  <c r="L25" i="30"/>
  <c r="L34" i="30"/>
  <c r="X33" i="32"/>
  <c r="R36" i="32"/>
  <c r="F15" i="33"/>
  <c r="F16" i="33"/>
  <c r="L21" i="33"/>
  <c r="R24" i="33"/>
  <c r="X25" i="35"/>
  <c r="R16" i="37"/>
  <c r="F25" i="37"/>
  <c r="F36" i="37"/>
  <c r="L33" i="38"/>
  <c r="X20" i="40"/>
  <c r="L33" i="40"/>
  <c r="N12" i="41"/>
  <c r="J33" i="41"/>
  <c r="X13" i="43"/>
  <c r="F20" i="43"/>
  <c r="R22" i="43"/>
  <c r="L13" i="46"/>
  <c r="Z12" i="47"/>
  <c r="R16" i="47"/>
  <c r="L22" i="47"/>
  <c r="J27" i="47"/>
  <c r="R33" i="47"/>
  <c r="L13" i="49"/>
  <c r="J21" i="49"/>
  <c r="J29" i="49"/>
  <c r="X33" i="49"/>
  <c r="X15" i="52"/>
  <c r="X13" i="53"/>
  <c r="X21" i="53"/>
  <c r="L34" i="53"/>
  <c r="R22" i="98"/>
  <c r="L22" i="99"/>
  <c r="L34" i="99"/>
  <c r="L16" i="100"/>
  <c r="L24" i="100"/>
  <c r="L21" i="4"/>
  <c r="L22" i="4"/>
  <c r="J24" i="4"/>
  <c r="J29" i="4"/>
  <c r="Z12" i="5"/>
  <c r="F20" i="5"/>
  <c r="F27" i="5"/>
  <c r="F31" i="5"/>
  <c r="L24" i="8"/>
  <c r="L25" i="8"/>
  <c r="L29" i="8"/>
  <c r="X25" i="10"/>
  <c r="F33" i="10"/>
  <c r="F36" i="10"/>
  <c r="R18" i="11"/>
  <c r="L25" i="11"/>
  <c r="L33" i="11"/>
  <c r="F16" i="13"/>
  <c r="J18" i="13"/>
  <c r="R20" i="13"/>
  <c r="X13" i="14"/>
  <c r="X15" i="14"/>
  <c r="F25" i="14"/>
  <c r="V27" i="14"/>
  <c r="V29" i="14"/>
  <c r="V33" i="14"/>
  <c r="F16" i="16"/>
  <c r="D18" i="16"/>
  <c r="D27" i="16" s="1"/>
  <c r="D31" i="16" s="1"/>
  <c r="D36" i="16" s="1"/>
  <c r="L24" i="16"/>
  <c r="F33" i="16"/>
  <c r="L12" i="17"/>
  <c r="V15" i="17"/>
  <c r="H18" i="17"/>
  <c r="H27" i="17" s="1"/>
  <c r="F21" i="17"/>
  <c r="F29" i="17"/>
  <c r="F31" i="17"/>
  <c r="N12" i="19"/>
  <c r="X21" i="19"/>
  <c r="X22" i="19"/>
  <c r="F21" i="20"/>
  <c r="F22" i="20"/>
  <c r="F20" i="20"/>
  <c r="F36" i="20"/>
  <c r="F33" i="20"/>
  <c r="F29" i="20"/>
  <c r="F25" i="20"/>
  <c r="F18" i="20"/>
  <c r="F16" i="20"/>
  <c r="F15" i="20"/>
  <c r="D18" i="20"/>
  <c r="D27" i="20" s="1"/>
  <c r="D31" i="20" s="1"/>
  <c r="D36" i="20" s="1"/>
  <c r="L16" i="20"/>
  <c r="F27" i="20"/>
  <c r="V22" i="22"/>
  <c r="L12" i="23"/>
  <c r="F21" i="26"/>
  <c r="F22" i="26"/>
  <c r="H18" i="27"/>
  <c r="H27" i="27" s="1"/>
  <c r="X15" i="29"/>
  <c r="J18" i="4"/>
  <c r="L29" i="4"/>
  <c r="J33" i="4"/>
  <c r="J34" i="4"/>
  <c r="V16" i="5"/>
  <c r="L24" i="5"/>
  <c r="J18" i="8"/>
  <c r="J25" i="8"/>
  <c r="J29" i="8"/>
  <c r="J33" i="8"/>
  <c r="J34" i="8"/>
  <c r="R25" i="10"/>
  <c r="R36" i="10"/>
  <c r="F16" i="11"/>
  <c r="L20" i="11"/>
  <c r="F22" i="11"/>
  <c r="L12" i="14"/>
  <c r="V15" i="14"/>
  <c r="D18" i="14"/>
  <c r="D27" i="14" s="1"/>
  <c r="V21" i="14"/>
  <c r="L29" i="14"/>
  <c r="Z29" i="14"/>
  <c r="F15" i="16"/>
  <c r="F18" i="16"/>
  <c r="X20" i="16"/>
  <c r="J24" i="16"/>
  <c r="F29" i="16"/>
  <c r="F36" i="16"/>
  <c r="L15" i="17"/>
  <c r="Z15" i="17"/>
  <c r="F22" i="17"/>
  <c r="R34" i="17"/>
  <c r="F27" i="19"/>
  <c r="N34" i="24"/>
  <c r="L34" i="24"/>
  <c r="L20" i="4"/>
  <c r="J21" i="4"/>
  <c r="J22" i="4"/>
  <c r="X34" i="4"/>
  <c r="F15" i="5"/>
  <c r="D18" i="5"/>
  <c r="F24" i="5"/>
  <c r="F25" i="5"/>
  <c r="F29" i="5"/>
  <c r="F33" i="5"/>
  <c r="X24" i="7"/>
  <c r="V18" i="8"/>
  <c r="L21" i="8"/>
  <c r="J24" i="8"/>
  <c r="X15" i="10"/>
  <c r="L20" i="10"/>
  <c r="X29" i="10"/>
  <c r="V36" i="10"/>
  <c r="F20" i="11"/>
  <c r="X33" i="11"/>
  <c r="L22" i="13"/>
  <c r="L15" i="14"/>
  <c r="Z15" i="14"/>
  <c r="H18" i="14"/>
  <c r="H27" i="14" s="1"/>
  <c r="L21" i="14"/>
  <c r="L24" i="14"/>
  <c r="J25" i="14"/>
  <c r="F29" i="14"/>
  <c r="L33" i="14"/>
  <c r="J18" i="16"/>
  <c r="R20" i="16"/>
  <c r="R22" i="16"/>
  <c r="N24" i="16"/>
  <c r="F25" i="16"/>
  <c r="F15" i="17"/>
  <c r="L20" i="17"/>
  <c r="J21" i="17"/>
  <c r="J29" i="17"/>
  <c r="L33" i="17"/>
  <c r="V24" i="19"/>
  <c r="V33" i="19"/>
  <c r="V25" i="19"/>
  <c r="V15" i="19"/>
  <c r="V16" i="19"/>
  <c r="V20" i="19"/>
  <c r="V21" i="19"/>
  <c r="J27" i="19"/>
  <c r="X33" i="19"/>
  <c r="J36" i="19"/>
  <c r="L12" i="20"/>
  <c r="V24" i="22"/>
  <c r="V34" i="22"/>
  <c r="V18" i="22"/>
  <c r="V36" i="22"/>
  <c r="V33" i="22"/>
  <c r="V29" i="22"/>
  <c r="V25" i="22"/>
  <c r="Z12" i="22"/>
  <c r="X13" i="22"/>
  <c r="X20" i="24"/>
  <c r="R34" i="26"/>
  <c r="R25" i="26"/>
  <c r="R29" i="26"/>
  <c r="R18" i="26"/>
  <c r="P18" i="26"/>
  <c r="R20" i="26"/>
  <c r="R15" i="26"/>
  <c r="R16" i="26"/>
  <c r="R24" i="26"/>
  <c r="H18" i="5"/>
  <c r="N18" i="5" s="1"/>
  <c r="J21" i="5"/>
  <c r="J22" i="5"/>
  <c r="L16" i="8"/>
  <c r="L20" i="8"/>
  <c r="J22" i="8"/>
  <c r="X13" i="10"/>
  <c r="R15" i="10"/>
  <c r="X21" i="10"/>
  <c r="V25" i="10"/>
  <c r="R29" i="10"/>
  <c r="J34" i="10"/>
  <c r="X16" i="13"/>
  <c r="F20" i="13"/>
  <c r="L24" i="13"/>
  <c r="F15" i="14"/>
  <c r="T18" i="14"/>
  <c r="T27" i="14" s="1"/>
  <c r="T31" i="14" s="1"/>
  <c r="F21" i="14"/>
  <c r="X33" i="16"/>
  <c r="X21" i="17"/>
  <c r="F33" i="17"/>
  <c r="X12" i="19"/>
  <c r="H18" i="19"/>
  <c r="H27" i="19" s="1"/>
  <c r="J25" i="19"/>
  <c r="F31" i="19"/>
  <c r="L15" i="20"/>
  <c r="L25" i="20"/>
  <c r="X29" i="22"/>
  <c r="X33" i="23"/>
  <c r="Z16" i="26"/>
  <c r="X16" i="26"/>
  <c r="L16" i="4"/>
  <c r="X22" i="4"/>
  <c r="X29" i="4"/>
  <c r="L12" i="5"/>
  <c r="J15" i="5"/>
  <c r="J18" i="5"/>
  <c r="X20" i="5"/>
  <c r="J24" i="5"/>
  <c r="J25" i="5"/>
  <c r="J29" i="5"/>
  <c r="J33" i="5"/>
  <c r="J21" i="8"/>
  <c r="R21" i="10"/>
  <c r="J27" i="10"/>
  <c r="X16" i="11"/>
  <c r="L21" i="11"/>
  <c r="X24" i="11"/>
  <c r="L29" i="11"/>
  <c r="J22" i="13"/>
  <c r="F24" i="13"/>
  <c r="L34" i="14"/>
  <c r="X22" i="16"/>
  <c r="J15" i="17"/>
  <c r="F34" i="17"/>
  <c r="F36" i="17"/>
  <c r="J24" i="19"/>
  <c r="F34" i="19"/>
  <c r="R36" i="24"/>
  <c r="R20" i="24"/>
  <c r="R16" i="24"/>
  <c r="R18" i="24"/>
  <c r="L15" i="4"/>
  <c r="J27" i="4"/>
  <c r="J36" i="4"/>
  <c r="T18" i="5"/>
  <c r="T27" i="5" s="1"/>
  <c r="T31" i="5" s="1"/>
  <c r="X34" i="5"/>
  <c r="J15" i="8"/>
  <c r="X22" i="8"/>
  <c r="Z24" i="8"/>
  <c r="Z34" i="8"/>
  <c r="V15" i="10"/>
  <c r="D18" i="10"/>
  <c r="D27" i="10" s="1"/>
  <c r="X20" i="10"/>
  <c r="V29" i="10"/>
  <c r="R33" i="10"/>
  <c r="R22" i="11"/>
  <c r="F20" i="16"/>
  <c r="F25" i="17"/>
  <c r="F27" i="17"/>
  <c r="J33" i="17"/>
  <c r="J36" i="17"/>
  <c r="V34" i="27"/>
  <c r="V20" i="27"/>
  <c r="V15" i="27"/>
  <c r="V36" i="27"/>
  <c r="V16" i="27"/>
  <c r="V33" i="27"/>
  <c r="V29" i="27"/>
  <c r="V25" i="27"/>
  <c r="V18" i="27"/>
  <c r="V21" i="27"/>
  <c r="T18" i="27"/>
  <c r="T27" i="27" s="1"/>
  <c r="Z27" i="27" s="1"/>
  <c r="Z12" i="27"/>
  <c r="J22" i="29"/>
  <c r="J16" i="29"/>
  <c r="J20" i="29"/>
  <c r="J31" i="4"/>
  <c r="V18" i="5"/>
  <c r="V20" i="5"/>
  <c r="X20" i="7"/>
  <c r="L24" i="7"/>
  <c r="L33" i="7"/>
  <c r="J27" i="8"/>
  <c r="J31" i="8"/>
  <c r="P18" i="10"/>
  <c r="P27" i="10" s="1"/>
  <c r="J31" i="10"/>
  <c r="X34" i="10"/>
  <c r="X13" i="13"/>
  <c r="J24" i="13"/>
  <c r="L20" i="14"/>
  <c r="L22" i="14"/>
  <c r="V25" i="14"/>
  <c r="L12" i="16"/>
  <c r="X16" i="16"/>
  <c r="X15" i="17"/>
  <c r="X16" i="22"/>
  <c r="J25" i="4"/>
  <c r="V15" i="5"/>
  <c r="V21" i="5"/>
  <c r="J36" i="5"/>
  <c r="X12" i="10"/>
  <c r="T18" i="10"/>
  <c r="T27" i="10" s="1"/>
  <c r="V33" i="10"/>
  <c r="F18" i="13"/>
  <c r="X33" i="14"/>
  <c r="N12" i="16"/>
  <c r="Z16" i="16"/>
  <c r="J22" i="16"/>
  <c r="F24" i="16"/>
  <c r="D18" i="17"/>
  <c r="D27" i="17" s="1"/>
  <c r="J25" i="17"/>
  <c r="J18" i="19"/>
  <c r="J31" i="19"/>
  <c r="J29" i="19"/>
  <c r="J34" i="19"/>
  <c r="J22" i="19"/>
  <c r="J33" i="19"/>
  <c r="J20" i="23"/>
  <c r="J18" i="23"/>
  <c r="J21" i="23"/>
  <c r="J15" i="32"/>
  <c r="J31" i="32"/>
  <c r="J16" i="38"/>
  <c r="J20" i="38"/>
  <c r="F22" i="44"/>
  <c r="F21" i="44"/>
  <c r="F24" i="44"/>
  <c r="X22" i="98"/>
  <c r="Z22" i="98"/>
  <c r="R21" i="20"/>
  <c r="D18" i="23"/>
  <c r="D27" i="23" s="1"/>
  <c r="R21" i="23"/>
  <c r="R22" i="23"/>
  <c r="F33" i="23"/>
  <c r="L34" i="23"/>
  <c r="L16" i="24"/>
  <c r="L24" i="24"/>
  <c r="L24" i="27"/>
  <c r="J25" i="27"/>
  <c r="J29" i="27"/>
  <c r="J33" i="27"/>
  <c r="L12" i="29"/>
  <c r="X13" i="29"/>
  <c r="R16" i="29"/>
  <c r="L21" i="29"/>
  <c r="F22" i="29"/>
  <c r="F24" i="29"/>
  <c r="F25" i="29"/>
  <c r="F29" i="29"/>
  <c r="F33" i="29"/>
  <c r="R18" i="30"/>
  <c r="V24" i="30"/>
  <c r="V25" i="30"/>
  <c r="N12" i="32"/>
  <c r="T18" i="32"/>
  <c r="T27" i="32" s="1"/>
  <c r="T31" i="32" s="1"/>
  <c r="V21" i="32"/>
  <c r="J29" i="32"/>
  <c r="V31" i="32"/>
  <c r="F18" i="33"/>
  <c r="F22" i="33"/>
  <c r="F24" i="33"/>
  <c r="F27" i="33"/>
  <c r="V29" i="33"/>
  <c r="J15" i="35"/>
  <c r="V21" i="35"/>
  <c r="V22" i="35"/>
  <c r="L29" i="35"/>
  <c r="L13" i="37"/>
  <c r="R18" i="37"/>
  <c r="V25" i="37"/>
  <c r="V29" i="37"/>
  <c r="V33" i="37"/>
  <c r="R36" i="37"/>
  <c r="R20" i="38"/>
  <c r="R25" i="38"/>
  <c r="R36" i="38"/>
  <c r="L15" i="41"/>
  <c r="X16" i="41"/>
  <c r="L22" i="41"/>
  <c r="X25" i="41"/>
  <c r="J20" i="44"/>
  <c r="J18" i="44"/>
  <c r="H18" i="44"/>
  <c r="H27" i="44" s="1"/>
  <c r="J24" i="20"/>
  <c r="X34" i="20"/>
  <c r="L15" i="22"/>
  <c r="L16" i="22"/>
  <c r="V15" i="23"/>
  <c r="V25" i="23"/>
  <c r="F34" i="23"/>
  <c r="F36" i="23"/>
  <c r="F16" i="24"/>
  <c r="F22" i="24"/>
  <c r="F24" i="24"/>
  <c r="L25" i="24"/>
  <c r="X13" i="26"/>
  <c r="L15" i="27"/>
  <c r="X25" i="27"/>
  <c r="X29" i="27"/>
  <c r="X33" i="27"/>
  <c r="X16" i="29"/>
  <c r="L24" i="29"/>
  <c r="X13" i="30"/>
  <c r="R15" i="30"/>
  <c r="R15" i="32"/>
  <c r="V18" i="32"/>
  <c r="V25" i="32"/>
  <c r="L33" i="32"/>
  <c r="J36" i="32"/>
  <c r="X15" i="33"/>
  <c r="J18" i="33"/>
  <c r="F25" i="33"/>
  <c r="F31" i="33"/>
  <c r="V33" i="33"/>
  <c r="F36" i="33"/>
  <c r="L25" i="35"/>
  <c r="J36" i="35"/>
  <c r="L25" i="37"/>
  <c r="L29" i="37"/>
  <c r="L33" i="37"/>
  <c r="V36" i="37"/>
  <c r="V24" i="38"/>
  <c r="V20" i="38"/>
  <c r="P18" i="38"/>
  <c r="L29" i="38"/>
  <c r="R33" i="38"/>
  <c r="X13" i="40"/>
  <c r="L29" i="40"/>
  <c r="X22" i="41"/>
  <c r="L29" i="43"/>
  <c r="X16" i="44"/>
  <c r="X20" i="46"/>
  <c r="L13" i="50"/>
  <c r="N15" i="53"/>
  <c r="L15" i="53"/>
  <c r="X20" i="98"/>
  <c r="X15" i="99"/>
  <c r="J20" i="35"/>
  <c r="J29" i="35"/>
  <c r="F18" i="40"/>
  <c r="F29" i="40"/>
  <c r="F22" i="40"/>
  <c r="F20" i="40"/>
  <c r="F31" i="40"/>
  <c r="F25" i="40"/>
  <c r="F24" i="40"/>
  <c r="F21" i="40"/>
  <c r="F15" i="40"/>
  <c r="F36" i="40"/>
  <c r="F27" i="40"/>
  <c r="Z25" i="50"/>
  <c r="X25" i="50"/>
  <c r="R18" i="20"/>
  <c r="R24" i="20"/>
  <c r="P18" i="22"/>
  <c r="L29" i="22"/>
  <c r="L33" i="22"/>
  <c r="X34" i="22"/>
  <c r="Z12" i="23"/>
  <c r="L16" i="23"/>
  <c r="T18" i="23"/>
  <c r="T27" i="23" s="1"/>
  <c r="V27" i="23"/>
  <c r="V36" i="23"/>
  <c r="J16" i="24"/>
  <c r="L34" i="26"/>
  <c r="J15" i="27"/>
  <c r="X16" i="27"/>
  <c r="X24" i="27"/>
  <c r="X12" i="29"/>
  <c r="F15" i="29"/>
  <c r="F16" i="29"/>
  <c r="F18" i="29"/>
  <c r="R21" i="29"/>
  <c r="R22" i="29"/>
  <c r="R24" i="29"/>
  <c r="L12" i="30"/>
  <c r="J20" i="30"/>
  <c r="L33" i="30"/>
  <c r="X12" i="32"/>
  <c r="X13" i="32"/>
  <c r="V15" i="32"/>
  <c r="J24" i="32"/>
  <c r="L25" i="32"/>
  <c r="J33" i="32"/>
  <c r="V36" i="32"/>
  <c r="X13" i="33"/>
  <c r="T18" i="33"/>
  <c r="T27" i="33" s="1"/>
  <c r="T31" i="33" s="1"/>
  <c r="R22" i="33"/>
  <c r="X24" i="33"/>
  <c r="L25" i="33"/>
  <c r="F33" i="33"/>
  <c r="F34" i="33"/>
  <c r="L24" i="35"/>
  <c r="J25" i="35"/>
  <c r="T18" i="37"/>
  <c r="L20" i="37"/>
  <c r="L34" i="37"/>
  <c r="L15" i="38"/>
  <c r="L34" i="38"/>
  <c r="L12" i="40"/>
  <c r="J18" i="40"/>
  <c r="F16" i="40"/>
  <c r="X15" i="41"/>
  <c r="J20" i="43"/>
  <c r="J18" i="43"/>
  <c r="L29" i="44"/>
  <c r="Z34" i="47"/>
  <c r="X34" i="47"/>
  <c r="V24" i="49"/>
  <c r="V33" i="49"/>
  <c r="V34" i="49"/>
  <c r="V27" i="49"/>
  <c r="V18" i="49"/>
  <c r="V29" i="49"/>
  <c r="V21" i="49"/>
  <c r="V20" i="49"/>
  <c r="T18" i="49"/>
  <c r="T27" i="49" s="1"/>
  <c r="V25" i="49"/>
  <c r="V36" i="49"/>
  <c r="V16" i="49"/>
  <c r="Z12" i="49"/>
  <c r="L13" i="99"/>
  <c r="V33" i="29"/>
  <c r="F36" i="29"/>
  <c r="L20" i="30"/>
  <c r="Z12" i="32"/>
  <c r="X15" i="32"/>
  <c r="V16" i="32"/>
  <c r="J21" i="32"/>
  <c r="J22" i="32"/>
  <c r="L24" i="32"/>
  <c r="J27" i="32"/>
  <c r="V29" i="32"/>
  <c r="J34" i="32"/>
  <c r="V15" i="33"/>
  <c r="V20" i="33"/>
  <c r="J34" i="35"/>
  <c r="F34" i="40"/>
  <c r="L33" i="19"/>
  <c r="R15" i="20"/>
  <c r="R21" i="22"/>
  <c r="X33" i="22"/>
  <c r="X24" i="23"/>
  <c r="F29" i="23"/>
  <c r="F31" i="23"/>
  <c r="R33" i="23"/>
  <c r="L13" i="24"/>
  <c r="X15" i="24"/>
  <c r="X22" i="24"/>
  <c r="J27" i="27"/>
  <c r="J31" i="27"/>
  <c r="L15" i="29"/>
  <c r="V18" i="29"/>
  <c r="X20" i="29"/>
  <c r="F27" i="29"/>
  <c r="T18" i="30"/>
  <c r="Z18" i="30" s="1"/>
  <c r="X33" i="30"/>
  <c r="L15" i="32"/>
  <c r="X22" i="32"/>
  <c r="J25" i="32"/>
  <c r="V27" i="32"/>
  <c r="R33" i="32"/>
  <c r="X34" i="32"/>
  <c r="Z12" i="33"/>
  <c r="X25" i="33"/>
  <c r="Z12" i="35"/>
  <c r="H18" i="35"/>
  <c r="V20" i="35"/>
  <c r="X24" i="35"/>
  <c r="L33" i="35"/>
  <c r="L15" i="37"/>
  <c r="R20" i="37"/>
  <c r="R21" i="37"/>
  <c r="R24" i="37"/>
  <c r="X34" i="37"/>
  <c r="L25" i="38"/>
  <c r="J34" i="38"/>
  <c r="J15" i="40"/>
  <c r="F33" i="40"/>
  <c r="J20" i="41"/>
  <c r="J18" i="41"/>
  <c r="H18" i="41"/>
  <c r="H27" i="41" s="1"/>
  <c r="J36" i="41"/>
  <c r="X21" i="43"/>
  <c r="V15" i="49"/>
  <c r="J24" i="50"/>
  <c r="N12" i="50"/>
  <c r="J22" i="50"/>
  <c r="J21" i="50"/>
  <c r="F21" i="99"/>
  <c r="F24" i="99"/>
  <c r="F20" i="99"/>
  <c r="F27" i="99"/>
  <c r="F22" i="99"/>
  <c r="F34" i="99"/>
  <c r="F31" i="99"/>
  <c r="F16" i="99"/>
  <c r="F18" i="99"/>
  <c r="X21" i="27"/>
  <c r="L25" i="27"/>
  <c r="L29" i="27"/>
  <c r="L33" i="27"/>
  <c r="V27" i="29"/>
  <c r="F31" i="29"/>
  <c r="F34" i="29"/>
  <c r="X24" i="30"/>
  <c r="R25" i="30"/>
  <c r="R33" i="30"/>
  <c r="H18" i="32"/>
  <c r="H27" i="32" s="1"/>
  <c r="F18" i="32"/>
  <c r="X21" i="32"/>
  <c r="L29" i="32"/>
  <c r="V16" i="33"/>
  <c r="X29" i="33"/>
  <c r="L15" i="35"/>
  <c r="X21" i="35"/>
  <c r="V22" i="37"/>
  <c r="L16" i="41"/>
  <c r="X13" i="44"/>
  <c r="X20" i="44"/>
  <c r="R20" i="46"/>
  <c r="R33" i="46"/>
  <c r="R15" i="46"/>
  <c r="R25" i="46"/>
  <c r="R29" i="46"/>
  <c r="P18" i="46"/>
  <c r="P27" i="46" s="1"/>
  <c r="L24" i="99"/>
  <c r="N24" i="99"/>
  <c r="X21" i="38"/>
  <c r="X29" i="38"/>
  <c r="R20" i="40"/>
  <c r="X25" i="40"/>
  <c r="X15" i="43"/>
  <c r="R16" i="43"/>
  <c r="R21" i="43"/>
  <c r="R16" i="44"/>
  <c r="R20" i="44"/>
  <c r="X22" i="44"/>
  <c r="L16" i="46"/>
  <c r="V20" i="46"/>
  <c r="V22" i="46"/>
  <c r="L25" i="46"/>
  <c r="V18" i="47"/>
  <c r="J24" i="49"/>
  <c r="X25" i="49"/>
  <c r="L33" i="49"/>
  <c r="J36" i="49"/>
  <c r="L12" i="50"/>
  <c r="R16" i="50"/>
  <c r="R24" i="50"/>
  <c r="V25" i="50"/>
  <c r="X34" i="50"/>
  <c r="X16" i="52"/>
  <c r="F24" i="52"/>
  <c r="L25" i="52"/>
  <c r="L13" i="53"/>
  <c r="J15" i="53"/>
  <c r="L16" i="53"/>
  <c r="J18" i="53"/>
  <c r="L22" i="53"/>
  <c r="X25" i="53"/>
  <c r="X29" i="53"/>
  <c r="R18" i="98"/>
  <c r="R25" i="98"/>
  <c r="X16" i="99"/>
  <c r="X22" i="99"/>
  <c r="V34" i="99"/>
  <c r="X12" i="100"/>
  <c r="F16" i="100"/>
  <c r="R18" i="100"/>
  <c r="V20" i="100"/>
  <c r="X22" i="100"/>
  <c r="X24" i="100"/>
  <c r="D18" i="49"/>
  <c r="V18" i="100"/>
  <c r="V21" i="100"/>
  <c r="J24" i="47"/>
  <c r="F15" i="49"/>
  <c r="F18" i="49"/>
  <c r="D18" i="50"/>
  <c r="R21" i="50"/>
  <c r="F27" i="50"/>
  <c r="F24" i="98"/>
  <c r="R20" i="99"/>
  <c r="R24" i="99"/>
  <c r="X29" i="99"/>
  <c r="Z12" i="100"/>
  <c r="V22" i="100"/>
  <c r="D18" i="40"/>
  <c r="D27" i="40" s="1"/>
  <c r="D31" i="40" s="1"/>
  <c r="F27" i="43"/>
  <c r="X33" i="43"/>
  <c r="V34" i="43"/>
  <c r="N12" i="47"/>
  <c r="R15" i="47"/>
  <c r="J21" i="47"/>
  <c r="X25" i="47"/>
  <c r="R29" i="47"/>
  <c r="F16" i="49"/>
  <c r="H18" i="49"/>
  <c r="N18" i="49" s="1"/>
  <c r="X22" i="49"/>
  <c r="J33" i="49"/>
  <c r="F18" i="50"/>
  <c r="R20" i="50"/>
  <c r="V27" i="50"/>
  <c r="F31" i="50"/>
  <c r="F36" i="50"/>
  <c r="R20" i="52"/>
  <c r="R22" i="52"/>
  <c r="F31" i="52"/>
  <c r="R16" i="53"/>
  <c r="J27" i="53"/>
  <c r="N12" i="98"/>
  <c r="X16" i="98"/>
  <c r="L20" i="98"/>
  <c r="J22" i="98"/>
  <c r="J27" i="98"/>
  <c r="R18" i="99"/>
  <c r="X20" i="99"/>
  <c r="V22" i="99"/>
  <c r="F20" i="100"/>
  <c r="L20" i="40"/>
  <c r="L24" i="41"/>
  <c r="F15" i="43"/>
  <c r="L16" i="43"/>
  <c r="R18" i="43"/>
  <c r="V27" i="43"/>
  <c r="F31" i="43"/>
  <c r="F36" i="43"/>
  <c r="F22" i="46"/>
  <c r="V16" i="47"/>
  <c r="R20" i="47"/>
  <c r="J22" i="47"/>
  <c r="X24" i="47"/>
  <c r="R25" i="47"/>
  <c r="V33" i="47"/>
  <c r="R36" i="47"/>
  <c r="L12" i="49"/>
  <c r="J15" i="49"/>
  <c r="L25" i="49"/>
  <c r="F27" i="49"/>
  <c r="X12" i="50"/>
  <c r="F15" i="50"/>
  <c r="R18" i="50"/>
  <c r="F25" i="50"/>
  <c r="L29" i="50"/>
  <c r="V31" i="50"/>
  <c r="L34" i="50"/>
  <c r="V36" i="50"/>
  <c r="L12" i="52"/>
  <c r="L16" i="52"/>
  <c r="F18" i="52"/>
  <c r="R15" i="53"/>
  <c r="J31" i="98"/>
  <c r="L34" i="98"/>
  <c r="X12" i="99"/>
  <c r="V18" i="99"/>
  <c r="Z20" i="99"/>
  <c r="V31" i="99"/>
  <c r="L13" i="100"/>
  <c r="F21" i="100"/>
  <c r="F22" i="100"/>
  <c r="X33" i="38"/>
  <c r="L16" i="40"/>
  <c r="L34" i="40"/>
  <c r="F24" i="41"/>
  <c r="X12" i="43"/>
  <c r="F16" i="43"/>
  <c r="L20" i="43"/>
  <c r="L22" i="43"/>
  <c r="F24" i="43"/>
  <c r="F25" i="43"/>
  <c r="V31" i="43"/>
  <c r="L34" i="43"/>
  <c r="L16" i="44"/>
  <c r="L20" i="44"/>
  <c r="X25" i="44"/>
  <c r="V16" i="46"/>
  <c r="L29" i="46"/>
  <c r="V15" i="47"/>
  <c r="R24" i="47"/>
  <c r="V29" i="47"/>
  <c r="L34" i="47"/>
  <c r="V36" i="47"/>
  <c r="N12" i="49"/>
  <c r="X15" i="49"/>
  <c r="F25" i="49"/>
  <c r="T18" i="50"/>
  <c r="T27" i="50" s="1"/>
  <c r="T31" i="50" s="1"/>
  <c r="L22" i="50"/>
  <c r="F24" i="50"/>
  <c r="F29" i="50"/>
  <c r="F34" i="50"/>
  <c r="D18" i="52"/>
  <c r="F16" i="52"/>
  <c r="R18" i="52"/>
  <c r="V22" i="52"/>
  <c r="F27" i="52"/>
  <c r="X34" i="53"/>
  <c r="L16" i="98"/>
  <c r="F18" i="98"/>
  <c r="P18" i="99"/>
  <c r="L20" i="99"/>
  <c r="V27" i="99"/>
  <c r="L33" i="99"/>
  <c r="V16" i="100"/>
  <c r="L34" i="44"/>
  <c r="X22" i="46"/>
  <c r="P18" i="47"/>
  <c r="J31" i="47"/>
  <c r="X16" i="49"/>
  <c r="L24" i="49"/>
  <c r="F31" i="49"/>
  <c r="L21" i="50"/>
  <c r="F22" i="50"/>
  <c r="F33" i="50"/>
  <c r="L29" i="52"/>
  <c r="L21" i="99"/>
  <c r="X34" i="99"/>
  <c r="X20" i="100"/>
  <c r="J270" i="3"/>
  <c r="J258" i="3"/>
  <c r="J234" i="3"/>
  <c r="J230" i="3"/>
  <c r="J226" i="3"/>
  <c r="J222" i="3"/>
  <c r="J218" i="3"/>
  <c r="J208" i="3"/>
  <c r="J202" i="3"/>
  <c r="J196" i="3"/>
  <c r="J184" i="3"/>
  <c r="J178" i="3"/>
  <c r="J174" i="3"/>
  <c r="J162" i="3"/>
  <c r="J150" i="3"/>
  <c r="J142" i="3"/>
  <c r="J134" i="3"/>
  <c r="J126" i="3"/>
  <c r="J118" i="3"/>
  <c r="J110" i="3"/>
  <c r="J261" i="3"/>
  <c r="J251" i="3"/>
  <c r="J247" i="3"/>
  <c r="J241" i="3"/>
  <c r="J233" i="3"/>
  <c r="J225" i="3"/>
  <c r="J221" i="3"/>
  <c r="J217" i="3"/>
  <c r="J213" i="3"/>
  <c r="J199" i="3"/>
  <c r="J193" i="3"/>
  <c r="J187" i="3"/>
  <c r="J181" i="3"/>
  <c r="J173" i="3"/>
  <c r="J161" i="3"/>
  <c r="J149" i="3"/>
  <c r="J141" i="3"/>
  <c r="J133" i="3"/>
  <c r="J125" i="3"/>
  <c r="J117" i="3"/>
  <c r="J109" i="3"/>
  <c r="J256" i="3"/>
  <c r="J244" i="3"/>
  <c r="J240" i="3"/>
  <c r="J224" i="3"/>
  <c r="J220" i="3"/>
  <c r="J216" i="3"/>
  <c r="J210" i="3"/>
  <c r="J204" i="3"/>
  <c r="J190" i="3"/>
  <c r="J180" i="3"/>
  <c r="J172" i="3"/>
  <c r="J168" i="3"/>
  <c r="J160" i="3"/>
  <c r="J148" i="3"/>
  <c r="J140" i="3"/>
  <c r="J132" i="3"/>
  <c r="J124" i="3"/>
  <c r="J116" i="3"/>
  <c r="J108" i="3"/>
  <c r="J102" i="3"/>
  <c r="J259" i="3"/>
  <c r="J243" i="3"/>
  <c r="J239" i="3"/>
  <c r="J229" i="3"/>
  <c r="J215" i="3"/>
  <c r="J207" i="3"/>
  <c r="J201" i="3"/>
  <c r="J195" i="3"/>
  <c r="J183" i="3"/>
  <c r="J177" i="3"/>
  <c r="J171" i="3"/>
  <c r="J167" i="3"/>
  <c r="J159" i="3"/>
  <c r="J147" i="3"/>
  <c r="J139" i="3"/>
  <c r="J131" i="3"/>
  <c r="J123" i="3"/>
  <c r="J115" i="3"/>
  <c r="J107" i="3"/>
  <c r="J271" i="3"/>
  <c r="J262" i="3"/>
  <c r="J254" i="3"/>
  <c r="J250" i="3"/>
  <c r="J246" i="3"/>
  <c r="J238" i="3"/>
  <c r="J232" i="3"/>
  <c r="J212" i="3"/>
  <c r="J206" i="3"/>
  <c r="J198" i="3"/>
  <c r="J192" i="3"/>
  <c r="J186" i="3"/>
  <c r="J170" i="3"/>
  <c r="J166" i="3"/>
  <c r="H155" i="3"/>
  <c r="J155" i="3" s="1"/>
  <c r="J146" i="3"/>
  <c r="J138" i="3"/>
  <c r="J130" i="3"/>
  <c r="J122" i="3"/>
  <c r="J114" i="3"/>
  <c r="J106" i="3"/>
  <c r="J257" i="3"/>
  <c r="J249" i="3"/>
  <c r="J237" i="3"/>
  <c r="J223" i="3"/>
  <c r="J219" i="3"/>
  <c r="J209" i="3"/>
  <c r="J203" i="3"/>
  <c r="J197" i="3"/>
  <c r="J189" i="3"/>
  <c r="J185" i="3"/>
  <c r="J179" i="3"/>
  <c r="J165" i="3"/>
  <c r="J157" i="3"/>
  <c r="J153" i="3"/>
  <c r="J145" i="3"/>
  <c r="J137" i="3"/>
  <c r="J129" i="3"/>
  <c r="J121" i="3"/>
  <c r="J113" i="3"/>
  <c r="J105" i="3"/>
  <c r="J266" i="3"/>
  <c r="J260" i="3"/>
  <c r="J252" i="3"/>
  <c r="J248" i="3"/>
  <c r="J242" i="3"/>
  <c r="J236" i="3"/>
  <c r="J228" i="3"/>
  <c r="J214" i="3"/>
  <c r="J200" i="3"/>
  <c r="J194" i="3"/>
  <c r="J188" i="3"/>
  <c r="J182" i="3"/>
  <c r="J176" i="3"/>
  <c r="J164" i="3"/>
  <c r="J158" i="3"/>
  <c r="J152" i="3"/>
  <c r="J144" i="3"/>
  <c r="J136" i="3"/>
  <c r="J128" i="3"/>
  <c r="J120" i="3"/>
  <c r="J112" i="3"/>
  <c r="J104" i="3"/>
  <c r="J255" i="3"/>
  <c r="J245" i="3"/>
  <c r="J235" i="3"/>
  <c r="J231" i="3"/>
  <c r="J227" i="3"/>
  <c r="J211" i="3"/>
  <c r="J205" i="3"/>
  <c r="J191" i="3"/>
  <c r="J175" i="3"/>
  <c r="J169" i="3"/>
  <c r="J163" i="3"/>
  <c r="J151" i="3"/>
  <c r="J143" i="3"/>
  <c r="J135" i="3"/>
  <c r="J127" i="3"/>
  <c r="J119" i="3"/>
  <c r="J111" i="3"/>
  <c r="J103" i="3"/>
  <c r="Z55" i="3"/>
  <c r="Z182" i="3"/>
  <c r="N184" i="3"/>
  <c r="Z229" i="3"/>
  <c r="H22" i="6"/>
  <c r="N16" i="6"/>
  <c r="D26" i="6"/>
  <c r="N19" i="3"/>
  <c r="Z15" i="3"/>
  <c r="N27" i="3"/>
  <c r="N59" i="3"/>
  <c r="N67" i="3"/>
  <c r="N18" i="3"/>
  <c r="Z19" i="3"/>
  <c r="Z23" i="3"/>
  <c r="N35" i="3"/>
  <c r="N75" i="3"/>
  <c r="Z94" i="3"/>
  <c r="N157" i="3"/>
  <c r="Z177" i="3"/>
  <c r="N179" i="3"/>
  <c r="Z190" i="3"/>
  <c r="N223" i="3"/>
  <c r="N262" i="3"/>
  <c r="N39" i="3"/>
  <c r="N43" i="3"/>
  <c r="N74" i="3"/>
  <c r="Z102" i="3"/>
  <c r="Z157" i="3"/>
  <c r="N254" i="3"/>
  <c r="T26" i="6"/>
  <c r="Z22" i="6"/>
  <c r="N82" i="3"/>
  <c r="Z39" i="3"/>
  <c r="N51" i="3"/>
  <c r="N232" i="3"/>
  <c r="N29" i="6"/>
  <c r="Z78" i="3"/>
  <c r="N258" i="3"/>
  <c r="L18" i="5"/>
  <c r="T12" i="3"/>
  <c r="N14" i="3"/>
  <c r="L23" i="3"/>
  <c r="N23" i="3" s="1"/>
  <c r="L31" i="3"/>
  <c r="N31" i="3" s="1"/>
  <c r="X35" i="3"/>
  <c r="Z35" i="3" s="1"/>
  <c r="L39" i="3"/>
  <c r="X12" i="3"/>
  <c r="Z27" i="3"/>
  <c r="Z43" i="3"/>
  <c r="N47" i="3"/>
  <c r="Z51" i="3"/>
  <c r="N55" i="3"/>
  <c r="Z59" i="3"/>
  <c r="N63" i="3"/>
  <c r="Z67" i="3"/>
  <c r="N71" i="3"/>
  <c r="Z75" i="3"/>
  <c r="N79" i="3"/>
  <c r="Z83" i="3"/>
  <c r="N87" i="3"/>
  <c r="Z91" i="3"/>
  <c r="N95" i="3"/>
  <c r="Z99" i="3"/>
  <c r="R108" i="3"/>
  <c r="R116" i="3"/>
  <c r="R124" i="3"/>
  <c r="R132" i="3"/>
  <c r="R140" i="3"/>
  <c r="R148" i="3"/>
  <c r="X158" i="3"/>
  <c r="Z158" i="3" s="1"/>
  <c r="R160" i="3"/>
  <c r="R168" i="3"/>
  <c r="R172" i="3"/>
  <c r="R177" i="3"/>
  <c r="R180" i="3"/>
  <c r="X182" i="3"/>
  <c r="L184" i="3"/>
  <c r="X194" i="3"/>
  <c r="Z194" i="3" s="1"/>
  <c r="L196" i="3"/>
  <c r="N196" i="3" s="1"/>
  <c r="R201" i="3"/>
  <c r="R204" i="3"/>
  <c r="L208" i="3"/>
  <c r="X214" i="3"/>
  <c r="Z214" i="3" s="1"/>
  <c r="R216" i="3"/>
  <c r="R220" i="3"/>
  <c r="R224" i="3"/>
  <c r="R229" i="3"/>
  <c r="R240" i="3"/>
  <c r="X242" i="3"/>
  <c r="Z242" i="3" s="1"/>
  <c r="R244" i="3"/>
  <c r="D254" i="3"/>
  <c r="L254" i="3" s="1"/>
  <c r="T254" i="3"/>
  <c r="L258" i="3"/>
  <c r="R259" i="3"/>
  <c r="X260" i="3"/>
  <c r="Z260" i="3" s="1"/>
  <c r="L270" i="3"/>
  <c r="N270" i="3" s="1"/>
  <c r="X12" i="4"/>
  <c r="N15" i="4"/>
  <c r="X24" i="4"/>
  <c r="F27" i="4"/>
  <c r="V27" i="4"/>
  <c r="F31" i="4"/>
  <c r="V31" i="4"/>
  <c r="F34" i="4"/>
  <c r="V34" i="4"/>
  <c r="L15" i="5"/>
  <c r="R16" i="5"/>
  <c r="R20" i="5"/>
  <c r="X21" i="5"/>
  <c r="V24" i="5"/>
  <c r="L25" i="5"/>
  <c r="D27" i="5"/>
  <c r="L29" i="5"/>
  <c r="L33" i="5"/>
  <c r="N14" i="6"/>
  <c r="V16" i="6"/>
  <c r="N18" i="6"/>
  <c r="V20" i="6"/>
  <c r="V26" i="6"/>
  <c r="N28" i="6"/>
  <c r="V29" i="6"/>
  <c r="Z12" i="7"/>
  <c r="F16" i="7"/>
  <c r="V16" i="7"/>
  <c r="F20" i="7"/>
  <c r="V20" i="7"/>
  <c r="L21" i="7"/>
  <c r="R22" i="7"/>
  <c r="J24" i="7"/>
  <c r="Z24" i="7"/>
  <c r="X34" i="7"/>
  <c r="X12" i="8"/>
  <c r="N15" i="8"/>
  <c r="Z21" i="8"/>
  <c r="N25" i="8"/>
  <c r="F27" i="8"/>
  <c r="V27" i="8"/>
  <c r="N29" i="8"/>
  <c r="F31" i="8"/>
  <c r="V31" i="8"/>
  <c r="R36" i="8"/>
  <c r="R97" i="9"/>
  <c r="R90" i="9"/>
  <c r="R85" i="9"/>
  <c r="R82" i="9"/>
  <c r="R70" i="9"/>
  <c r="R53" i="9"/>
  <c r="R50" i="9"/>
  <c r="R45" i="9"/>
  <c r="R42" i="9"/>
  <c r="R37" i="9"/>
  <c r="R25" i="9"/>
  <c r="R14" i="9"/>
  <c r="R73" i="9"/>
  <c r="R56" i="9"/>
  <c r="R84" i="9"/>
  <c r="R67" i="9"/>
  <c r="R52" i="9"/>
  <c r="R47" i="9"/>
  <c r="R44" i="9"/>
  <c r="R39" i="9"/>
  <c r="R35" i="9"/>
  <c r="R23" i="9"/>
  <c r="R78" i="9"/>
  <c r="R66" i="9"/>
  <c r="R62" i="9"/>
  <c r="R58" i="9"/>
  <c r="R55" i="9"/>
  <c r="R34" i="9"/>
  <c r="R30" i="9"/>
  <c r="R22" i="9"/>
  <c r="R94" i="9"/>
  <c r="R88" i="9"/>
  <c r="R81" i="9"/>
  <c r="R77" i="9"/>
  <c r="R69" i="9"/>
  <c r="R65" i="9"/>
  <c r="R61" i="9"/>
  <c r="R49" i="9"/>
  <c r="R46" i="9"/>
  <c r="R41" i="9"/>
  <c r="R38" i="9"/>
  <c r="R33" i="9"/>
  <c r="R29" i="9"/>
  <c r="R21" i="9"/>
  <c r="R16" i="9"/>
  <c r="R80" i="9"/>
  <c r="R76" i="9"/>
  <c r="R72" i="9"/>
  <c r="R64" i="9"/>
  <c r="R60" i="9"/>
  <c r="R57" i="9"/>
  <c r="R32" i="9"/>
  <c r="R28" i="9"/>
  <c r="R20" i="9"/>
  <c r="R18" i="9"/>
  <c r="P16" i="9"/>
  <c r="R83" i="9"/>
  <c r="R75" i="9"/>
  <c r="R71" i="9"/>
  <c r="R68" i="9"/>
  <c r="R51" i="9"/>
  <c r="R48" i="9"/>
  <c r="R43" i="9"/>
  <c r="R40" i="9"/>
  <c r="R27" i="9"/>
  <c r="X14" i="9"/>
  <c r="T16" i="9"/>
  <c r="R26" i="9"/>
  <c r="F32" i="9"/>
  <c r="R54" i="9"/>
  <c r="F62" i="9"/>
  <c r="J65" i="9"/>
  <c r="R79" i="9"/>
  <c r="R92" i="9"/>
  <c r="J34" i="11"/>
  <c r="J31" i="11"/>
  <c r="J27" i="11"/>
  <c r="J24" i="11"/>
  <c r="J21" i="11"/>
  <c r="J18" i="11"/>
  <c r="J36" i="11"/>
  <c r="J33" i="11"/>
  <c r="J29" i="11"/>
  <c r="J25" i="11"/>
  <c r="H18" i="11"/>
  <c r="J15" i="11"/>
  <c r="J22" i="11"/>
  <c r="N12" i="11"/>
  <c r="Z27" i="12"/>
  <c r="N43" i="12"/>
  <c r="X48" i="12"/>
  <c r="N60" i="12"/>
  <c r="Z153" i="12"/>
  <c r="Z177" i="12"/>
  <c r="N223" i="12"/>
  <c r="X24" i="14"/>
  <c r="H12" i="15"/>
  <c r="X19" i="15"/>
  <c r="N22" i="15"/>
  <c r="N31" i="15"/>
  <c r="X43" i="15"/>
  <c r="L55" i="15"/>
  <c r="X67" i="15"/>
  <c r="Z67" i="15" s="1"/>
  <c r="N70" i="15"/>
  <c r="Z77" i="15"/>
  <c r="L79" i="15"/>
  <c r="Z127" i="15"/>
  <c r="R102" i="3"/>
  <c r="R109" i="3"/>
  <c r="R117" i="3"/>
  <c r="R125" i="3"/>
  <c r="R133" i="3"/>
  <c r="R141" i="3"/>
  <c r="R149" i="3"/>
  <c r="R161" i="3"/>
  <c r="R173" i="3"/>
  <c r="R181" i="3"/>
  <c r="R190" i="3"/>
  <c r="R193" i="3"/>
  <c r="R210" i="3"/>
  <c r="R213" i="3"/>
  <c r="R217" i="3"/>
  <c r="R221" i="3"/>
  <c r="R225" i="3"/>
  <c r="R233" i="3"/>
  <c r="R241" i="3"/>
  <c r="R256" i="3"/>
  <c r="Z12" i="4"/>
  <c r="F16" i="4"/>
  <c r="V16" i="4"/>
  <c r="F20" i="4"/>
  <c r="V20" i="4"/>
  <c r="R22" i="4"/>
  <c r="X12" i="5"/>
  <c r="N15" i="5"/>
  <c r="V27" i="5"/>
  <c r="V31" i="5"/>
  <c r="V34" i="5"/>
  <c r="X12" i="6"/>
  <c r="R15" i="7"/>
  <c r="P18" i="7"/>
  <c r="R25" i="7"/>
  <c r="J27" i="7"/>
  <c r="R29" i="7"/>
  <c r="J31" i="7"/>
  <c r="R33" i="7"/>
  <c r="J34" i="7"/>
  <c r="R36" i="7"/>
  <c r="F16" i="8"/>
  <c r="V16" i="8"/>
  <c r="F20" i="8"/>
  <c r="V20" i="8"/>
  <c r="R22" i="8"/>
  <c r="V84" i="9"/>
  <c r="V56" i="9"/>
  <c r="V52" i="9"/>
  <c r="V44" i="9"/>
  <c r="V36" i="9"/>
  <c r="V24" i="9"/>
  <c r="Z12" i="9"/>
  <c r="V67" i="9"/>
  <c r="V55" i="9"/>
  <c r="V94" i="9"/>
  <c r="V88" i="9"/>
  <c r="V78" i="9"/>
  <c r="V66" i="9"/>
  <c r="V62" i="9"/>
  <c r="V58" i="9"/>
  <c r="V46" i="9"/>
  <c r="V38" i="9"/>
  <c r="V34" i="9"/>
  <c r="V30" i="9"/>
  <c r="V81" i="9"/>
  <c r="V77" i="9"/>
  <c r="V69" i="9"/>
  <c r="V65" i="9"/>
  <c r="V61" i="9"/>
  <c r="V57" i="9"/>
  <c r="V49" i="9"/>
  <c r="V41" i="9"/>
  <c r="V33" i="9"/>
  <c r="V29" i="9"/>
  <c r="V21" i="9"/>
  <c r="V80" i="9"/>
  <c r="V76" i="9"/>
  <c r="V72" i="9"/>
  <c r="V68" i="9"/>
  <c r="V64" i="9"/>
  <c r="V60" i="9"/>
  <c r="V48" i="9"/>
  <c r="V40" i="9"/>
  <c r="V32" i="9"/>
  <c r="V28" i="9"/>
  <c r="V20" i="9"/>
  <c r="V83" i="9"/>
  <c r="V79" i="9"/>
  <c r="V75" i="9"/>
  <c r="V71" i="9"/>
  <c r="V63" i="9"/>
  <c r="V59" i="9"/>
  <c r="V51" i="9"/>
  <c r="V43" i="9"/>
  <c r="V31" i="9"/>
  <c r="V27" i="9"/>
  <c r="V19" i="9"/>
  <c r="V97" i="9"/>
  <c r="V92" i="9"/>
  <c r="V90" i="9"/>
  <c r="V86" i="9"/>
  <c r="V82" i="9"/>
  <c r="V74" i="9"/>
  <c r="V70" i="9"/>
  <c r="V54" i="9"/>
  <c r="V50" i="9"/>
  <c r="V42" i="9"/>
  <c r="V26" i="9"/>
  <c r="V16" i="9"/>
  <c r="F22" i="9"/>
  <c r="F28" i="9"/>
  <c r="V35" i="9"/>
  <c r="N38" i="9"/>
  <c r="V39" i="9"/>
  <c r="V47" i="9"/>
  <c r="F58" i="9"/>
  <c r="Z84" i="9"/>
  <c r="X29" i="11"/>
  <c r="Z48" i="12"/>
  <c r="L68" i="12"/>
  <c r="N133" i="12"/>
  <c r="X223" i="12"/>
  <c r="L21" i="13"/>
  <c r="Z18" i="15"/>
  <c r="Z19" i="15"/>
  <c r="Z42" i="15"/>
  <c r="Z43" i="15"/>
  <c r="Z66" i="15"/>
  <c r="Z27" i="18"/>
  <c r="X27" i="18"/>
  <c r="Z194" i="18"/>
  <c r="X194" i="18"/>
  <c r="L18" i="3"/>
  <c r="X38" i="3"/>
  <c r="Z38" i="3" s="1"/>
  <c r="L42" i="3"/>
  <c r="N42" i="3" s="1"/>
  <c r="X46" i="3"/>
  <c r="Z46" i="3" s="1"/>
  <c r="L50" i="3"/>
  <c r="X54" i="3"/>
  <c r="Z54" i="3" s="1"/>
  <c r="L58" i="3"/>
  <c r="N58" i="3" s="1"/>
  <c r="L66" i="3"/>
  <c r="N66" i="3" s="1"/>
  <c r="X70" i="3"/>
  <c r="Z70" i="3" s="1"/>
  <c r="L74" i="3"/>
  <c r="X78" i="3"/>
  <c r="L82" i="3"/>
  <c r="X86" i="3"/>
  <c r="Z86" i="3" s="1"/>
  <c r="L90" i="3"/>
  <c r="N90" i="3" s="1"/>
  <c r="X94" i="3"/>
  <c r="L98" i="3"/>
  <c r="R110" i="3"/>
  <c r="R118" i="3"/>
  <c r="R126" i="3"/>
  <c r="R134" i="3"/>
  <c r="R142" i="3"/>
  <c r="R150" i="3"/>
  <c r="R162" i="3"/>
  <c r="R174" i="3"/>
  <c r="R178" i="3"/>
  <c r="R187" i="3"/>
  <c r="R199" i="3"/>
  <c r="R202" i="3"/>
  <c r="R218" i="3"/>
  <c r="R222" i="3"/>
  <c r="R226" i="3"/>
  <c r="R230" i="3"/>
  <c r="R234" i="3"/>
  <c r="R247" i="3"/>
  <c r="R251" i="3"/>
  <c r="R261" i="3"/>
  <c r="P18" i="4"/>
  <c r="R25" i="4"/>
  <c r="R29" i="4"/>
  <c r="R33" i="4"/>
  <c r="R36" i="4"/>
  <c r="R22" i="5"/>
  <c r="R22" i="6"/>
  <c r="R28" i="6"/>
  <c r="R31" i="6"/>
  <c r="J16" i="7"/>
  <c r="R18" i="7"/>
  <c r="J20" i="7"/>
  <c r="F22" i="7"/>
  <c r="V22" i="7"/>
  <c r="R15" i="8"/>
  <c r="P18" i="8"/>
  <c r="R25" i="8"/>
  <c r="R29" i="8"/>
  <c r="R33" i="8"/>
  <c r="Z18" i="9"/>
  <c r="J61" i="9"/>
  <c r="R63" i="9"/>
  <c r="N20" i="12"/>
  <c r="Z35" i="12"/>
  <c r="N55" i="12"/>
  <c r="Z56" i="12"/>
  <c r="L76" i="12"/>
  <c r="N76" i="12" s="1"/>
  <c r="Z223" i="12"/>
  <c r="N21" i="16"/>
  <c r="L21" i="16"/>
  <c r="X75" i="18"/>
  <c r="Z75" i="18" s="1"/>
  <c r="X22" i="3"/>
  <c r="Z22" i="3" s="1"/>
  <c r="L26" i="3"/>
  <c r="Z14" i="3"/>
  <c r="Z30" i="3"/>
  <c r="N34" i="3"/>
  <c r="Z62" i="3"/>
  <c r="R103" i="3"/>
  <c r="R111" i="3"/>
  <c r="R119" i="3"/>
  <c r="R127" i="3"/>
  <c r="R135" i="3"/>
  <c r="R143" i="3"/>
  <c r="R151" i="3"/>
  <c r="R163" i="3"/>
  <c r="R175" i="3"/>
  <c r="R184" i="3"/>
  <c r="R191" i="3"/>
  <c r="R196" i="3"/>
  <c r="R208" i="3"/>
  <c r="R211" i="3"/>
  <c r="R227" i="3"/>
  <c r="R231" i="3"/>
  <c r="R235" i="3"/>
  <c r="R258" i="3"/>
  <c r="R270" i="3"/>
  <c r="J16" i="4"/>
  <c r="R18" i="4"/>
  <c r="F22" i="4"/>
  <c r="V22" i="4"/>
  <c r="R15" i="5"/>
  <c r="P18" i="5"/>
  <c r="R25" i="5"/>
  <c r="J27" i="5"/>
  <c r="R29" i="5"/>
  <c r="J31" i="5"/>
  <c r="R33" i="5"/>
  <c r="J34" i="5"/>
  <c r="R36" i="5"/>
  <c r="L16" i="6"/>
  <c r="R24" i="6"/>
  <c r="L12" i="7"/>
  <c r="F15" i="7"/>
  <c r="V15" i="7"/>
  <c r="D18" i="7"/>
  <c r="T18" i="7"/>
  <c r="R21" i="7"/>
  <c r="F25" i="7"/>
  <c r="V25" i="7"/>
  <c r="F29" i="7"/>
  <c r="V29" i="7"/>
  <c r="F33" i="7"/>
  <c r="V33" i="7"/>
  <c r="F36" i="7"/>
  <c r="V36" i="7"/>
  <c r="J16" i="8"/>
  <c r="R18" i="8"/>
  <c r="J20" i="8"/>
  <c r="F22" i="8"/>
  <c r="V22" i="8"/>
  <c r="F36" i="8"/>
  <c r="D16" i="9"/>
  <c r="V18" i="9"/>
  <c r="R19" i="9"/>
  <c r="J21" i="9"/>
  <c r="V22" i="9"/>
  <c r="V25" i="9"/>
  <c r="J27" i="9"/>
  <c r="F34" i="9"/>
  <c r="J41" i="9"/>
  <c r="X42" i="9"/>
  <c r="Z42" i="9" s="1"/>
  <c r="J49" i="9"/>
  <c r="X50" i="9"/>
  <c r="Z50" i="9" s="1"/>
  <c r="R59" i="9"/>
  <c r="F73" i="9"/>
  <c r="R74" i="9"/>
  <c r="J16" i="11"/>
  <c r="H12" i="12"/>
  <c r="N15" i="12"/>
  <c r="Z16" i="12"/>
  <c r="X24" i="12"/>
  <c r="Z24" i="12" s="1"/>
  <c r="N28" i="12"/>
  <c r="Z43" i="12"/>
  <c r="N197" i="12"/>
  <c r="X203" i="12"/>
  <c r="Z203" i="12" s="1"/>
  <c r="Z217" i="12"/>
  <c r="N229" i="12"/>
  <c r="X34" i="13"/>
  <c r="L15" i="15"/>
  <c r="N15" i="15" s="1"/>
  <c r="Z26" i="15"/>
  <c r="Z27" i="15"/>
  <c r="N39" i="15"/>
  <c r="X51" i="15"/>
  <c r="Z51" i="15" s="1"/>
  <c r="N54" i="15"/>
  <c r="Z61" i="15"/>
  <c r="L63" i="15"/>
  <c r="X75" i="15"/>
  <c r="Z75" i="15" s="1"/>
  <c r="D12" i="3"/>
  <c r="R104" i="3"/>
  <c r="R112" i="3"/>
  <c r="R120" i="3"/>
  <c r="R128" i="3"/>
  <c r="R136" i="3"/>
  <c r="R144" i="3"/>
  <c r="R152" i="3"/>
  <c r="R164" i="3"/>
  <c r="R169" i="3"/>
  <c r="R176" i="3"/>
  <c r="R188" i="3"/>
  <c r="R200" i="3"/>
  <c r="R205" i="3"/>
  <c r="R228" i="3"/>
  <c r="R236" i="3"/>
  <c r="R245" i="3"/>
  <c r="R248" i="3"/>
  <c r="R252" i="3"/>
  <c r="R255" i="3"/>
  <c r="R266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V22" i="5"/>
  <c r="F14" i="6"/>
  <c r="V14" i="6"/>
  <c r="F18" i="6"/>
  <c r="V18" i="6"/>
  <c r="F22" i="6"/>
  <c r="V22" i="6"/>
  <c r="V24" i="6"/>
  <c r="F28" i="6"/>
  <c r="V28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14" i="9"/>
  <c r="F16" i="9"/>
  <c r="F30" i="9"/>
  <c r="V37" i="9"/>
  <c r="Z38" i="9"/>
  <c r="L44" i="9"/>
  <c r="N44" i="9" s="1"/>
  <c r="V45" i="9"/>
  <c r="Z46" i="9"/>
  <c r="L52" i="9"/>
  <c r="V53" i="9"/>
  <c r="R86" i="9"/>
  <c r="X25" i="11"/>
  <c r="P12" i="12"/>
  <c r="N19" i="12"/>
  <c r="X32" i="12"/>
  <c r="Z32" i="12" s="1"/>
  <c r="L36" i="12"/>
  <c r="Z55" i="12"/>
  <c r="Z64" i="12"/>
  <c r="N67" i="12"/>
  <c r="N71" i="12"/>
  <c r="Z72" i="12"/>
  <c r="N84" i="12"/>
  <c r="L84" i="12"/>
  <c r="N175" i="12"/>
  <c r="L193" i="12"/>
  <c r="N193" i="12" s="1"/>
  <c r="Z50" i="15"/>
  <c r="Z74" i="15"/>
  <c r="N179" i="15"/>
  <c r="L179" i="15"/>
  <c r="R105" i="3"/>
  <c r="R113" i="3"/>
  <c r="R121" i="3"/>
  <c r="R129" i="3"/>
  <c r="R137" i="3"/>
  <c r="R145" i="3"/>
  <c r="R153" i="3"/>
  <c r="R158" i="3"/>
  <c r="R165" i="3"/>
  <c r="R182" i="3"/>
  <c r="R185" i="3"/>
  <c r="R189" i="3"/>
  <c r="R194" i="3"/>
  <c r="R197" i="3"/>
  <c r="R209" i="3"/>
  <c r="R214" i="3"/>
  <c r="R237" i="3"/>
  <c r="R242" i="3"/>
  <c r="R249" i="3"/>
  <c r="R260" i="3"/>
  <c r="F18" i="4"/>
  <c r="V18" i="4"/>
  <c r="R24" i="4"/>
  <c r="R21" i="5"/>
  <c r="V25" i="5"/>
  <c r="V29" i="5"/>
  <c r="V33" i="5"/>
  <c r="P16" i="6"/>
  <c r="J15" i="7"/>
  <c r="H18" i="7"/>
  <c r="F21" i="7"/>
  <c r="V21" i="7"/>
  <c r="J25" i="7"/>
  <c r="R27" i="7"/>
  <c r="J29" i="7"/>
  <c r="R31" i="7"/>
  <c r="J33" i="7"/>
  <c r="R34" i="7"/>
  <c r="J36" i="7"/>
  <c r="F18" i="8"/>
  <c r="R24" i="8"/>
  <c r="R34" i="8"/>
  <c r="H94" i="9"/>
  <c r="N18" i="9"/>
  <c r="R31" i="9"/>
  <c r="J33" i="9"/>
  <c r="N52" i="9"/>
  <c r="J69" i="9"/>
  <c r="X70" i="9"/>
  <c r="Z70" i="9" s="1"/>
  <c r="X15" i="11"/>
  <c r="J20" i="11"/>
  <c r="D12" i="12"/>
  <c r="L13" i="12"/>
  <c r="N13" i="12" s="1"/>
  <c r="Z15" i="12"/>
  <c r="N27" i="12"/>
  <c r="L44" i="12"/>
  <c r="X80" i="12"/>
  <c r="Z80" i="12" s="1"/>
  <c r="Z133" i="12"/>
  <c r="L153" i="12"/>
  <c r="X175" i="12"/>
  <c r="L177" i="12"/>
  <c r="Z197" i="12"/>
  <c r="X219" i="12"/>
  <c r="V21" i="13"/>
  <c r="V18" i="13"/>
  <c r="V36" i="13"/>
  <c r="V33" i="13"/>
  <c r="V29" i="13"/>
  <c r="V25" i="13"/>
  <c r="T18" i="13"/>
  <c r="V15" i="13"/>
  <c r="V22" i="13"/>
  <c r="V20" i="13"/>
  <c r="V16" i="13"/>
  <c r="Z12" i="13"/>
  <c r="V34" i="13"/>
  <c r="V31" i="13"/>
  <c r="V27" i="13"/>
  <c r="X12" i="13"/>
  <c r="R24" i="14"/>
  <c r="R21" i="14"/>
  <c r="R18" i="14"/>
  <c r="R36" i="14"/>
  <c r="R33" i="14"/>
  <c r="R29" i="14"/>
  <c r="R25" i="14"/>
  <c r="P18" i="14"/>
  <c r="R15" i="14"/>
  <c r="R22" i="14"/>
  <c r="X12" i="14"/>
  <c r="R20" i="14"/>
  <c r="R16" i="14"/>
  <c r="R34" i="14"/>
  <c r="P12" i="15"/>
  <c r="L23" i="15"/>
  <c r="X35" i="15"/>
  <c r="Z45" i="15"/>
  <c r="N153" i="15"/>
  <c r="R106" i="3"/>
  <c r="R114" i="3"/>
  <c r="R122" i="3"/>
  <c r="R130" i="3"/>
  <c r="R138" i="3"/>
  <c r="R146" i="3"/>
  <c r="R166" i="3"/>
  <c r="R170" i="3"/>
  <c r="R179" i="3"/>
  <c r="R186" i="3"/>
  <c r="R198" i="3"/>
  <c r="R203" i="3"/>
  <c r="R206" i="3"/>
  <c r="R219" i="3"/>
  <c r="R223" i="3"/>
  <c r="R238" i="3"/>
  <c r="R246" i="3"/>
  <c r="R250" i="3"/>
  <c r="P254" i="3"/>
  <c r="X254" i="3" s="1"/>
  <c r="R257" i="3"/>
  <c r="F21" i="4"/>
  <c r="V21" i="4"/>
  <c r="R27" i="4"/>
  <c r="R31" i="4"/>
  <c r="R34" i="4"/>
  <c r="R24" i="5"/>
  <c r="R16" i="6"/>
  <c r="R20" i="6"/>
  <c r="R26" i="6"/>
  <c r="R16" i="7"/>
  <c r="J18" i="7"/>
  <c r="R20" i="7"/>
  <c r="F24" i="7"/>
  <c r="V24" i="7"/>
  <c r="H18" i="8"/>
  <c r="F21" i="8"/>
  <c r="V21" i="8"/>
  <c r="R27" i="8"/>
  <c r="R31" i="8"/>
  <c r="F84" i="9"/>
  <c r="F81" i="9"/>
  <c r="F77" i="9"/>
  <c r="F69" i="9"/>
  <c r="F65" i="9"/>
  <c r="F61" i="9"/>
  <c r="F52" i="9"/>
  <c r="F49" i="9"/>
  <c r="F44" i="9"/>
  <c r="F41" i="9"/>
  <c r="F33" i="9"/>
  <c r="F29" i="9"/>
  <c r="F21" i="9"/>
  <c r="F80" i="9"/>
  <c r="F76" i="9"/>
  <c r="F72" i="9"/>
  <c r="F64" i="9"/>
  <c r="F60" i="9"/>
  <c r="F55" i="9"/>
  <c r="F94" i="9"/>
  <c r="F88" i="9"/>
  <c r="F83" i="9"/>
  <c r="F75" i="9"/>
  <c r="F71" i="9"/>
  <c r="F51" i="9"/>
  <c r="F46" i="9"/>
  <c r="F43" i="9"/>
  <c r="F38" i="9"/>
  <c r="F27" i="9"/>
  <c r="F92" i="9"/>
  <c r="F86" i="9"/>
  <c r="F74" i="9"/>
  <c r="F57" i="9"/>
  <c r="F54" i="9"/>
  <c r="F26" i="9"/>
  <c r="F85" i="9"/>
  <c r="F68" i="9"/>
  <c r="F53" i="9"/>
  <c r="F48" i="9"/>
  <c r="F45" i="9"/>
  <c r="F40" i="9"/>
  <c r="F37" i="9"/>
  <c r="F25" i="9"/>
  <c r="F79" i="9"/>
  <c r="F63" i="9"/>
  <c r="F59" i="9"/>
  <c r="F56" i="9"/>
  <c r="F36" i="9"/>
  <c r="F31" i="9"/>
  <c r="F24" i="9"/>
  <c r="F19" i="9"/>
  <c r="F18" i="9"/>
  <c r="L12" i="9"/>
  <c r="F97" i="9"/>
  <c r="F90" i="9"/>
  <c r="F82" i="9"/>
  <c r="F70" i="9"/>
  <c r="F67" i="9"/>
  <c r="F50" i="9"/>
  <c r="F47" i="9"/>
  <c r="F42" i="9"/>
  <c r="F39" i="9"/>
  <c r="F35" i="9"/>
  <c r="F23" i="9"/>
  <c r="J18" i="9"/>
  <c r="F20" i="9"/>
  <c r="J29" i="9"/>
  <c r="N40" i="9"/>
  <c r="J43" i="9"/>
  <c r="J51" i="9"/>
  <c r="J55" i="9"/>
  <c r="F66" i="9"/>
  <c r="X82" i="9"/>
  <c r="Z82" i="9" s="1"/>
  <c r="L84" i="9"/>
  <c r="V85" i="9"/>
  <c r="L22" i="10"/>
  <c r="N153" i="12"/>
  <c r="Z175" i="12"/>
  <c r="N177" i="12"/>
  <c r="Z219" i="12"/>
  <c r="X227" i="12"/>
  <c r="Z227" i="12" s="1"/>
  <c r="P226" i="12"/>
  <c r="N23" i="15"/>
  <c r="Z34" i="15"/>
  <c r="Z35" i="15"/>
  <c r="X59" i="15"/>
  <c r="Z59" i="15" s="1"/>
  <c r="N62" i="15"/>
  <c r="N71" i="15"/>
  <c r="R107" i="3"/>
  <c r="R115" i="3"/>
  <c r="R123" i="3"/>
  <c r="R131" i="3"/>
  <c r="R139" i="3"/>
  <c r="R147" i="3"/>
  <c r="P155" i="3"/>
  <c r="R155" i="3" s="1"/>
  <c r="R157" i="3"/>
  <c r="R159" i="3"/>
  <c r="R167" i="3"/>
  <c r="R171" i="3"/>
  <c r="R183" i="3"/>
  <c r="R192" i="3"/>
  <c r="R195" i="3"/>
  <c r="R207" i="3"/>
  <c r="R212" i="3"/>
  <c r="R215" i="3"/>
  <c r="R232" i="3"/>
  <c r="R239" i="3"/>
  <c r="R243" i="3"/>
  <c r="R262" i="3"/>
  <c r="R16" i="4"/>
  <c r="R27" i="5"/>
  <c r="R31" i="5"/>
  <c r="F27" i="7"/>
  <c r="V27" i="7"/>
  <c r="F31" i="7"/>
  <c r="V31" i="7"/>
  <c r="R16" i="8"/>
  <c r="F24" i="8"/>
  <c r="V24" i="8"/>
  <c r="V34" i="8"/>
  <c r="J94" i="9"/>
  <c r="J88" i="9"/>
  <c r="J80" i="9"/>
  <c r="J76" i="9"/>
  <c r="J72" i="9"/>
  <c r="J64" i="9"/>
  <c r="J60" i="9"/>
  <c r="J46" i="9"/>
  <c r="J38" i="9"/>
  <c r="J32" i="9"/>
  <c r="J28" i="9"/>
  <c r="J20" i="9"/>
  <c r="J16" i="9"/>
  <c r="J83" i="9"/>
  <c r="J75" i="9"/>
  <c r="J71" i="9"/>
  <c r="J57" i="9"/>
  <c r="J92" i="9"/>
  <c r="J86" i="9"/>
  <c r="J74" i="9"/>
  <c r="J68" i="9"/>
  <c r="J54" i="9"/>
  <c r="J48" i="9"/>
  <c r="J40" i="9"/>
  <c r="J26" i="9"/>
  <c r="J85" i="9"/>
  <c r="J79" i="9"/>
  <c r="J63" i="9"/>
  <c r="J59" i="9"/>
  <c r="J53" i="9"/>
  <c r="J45" i="9"/>
  <c r="J37" i="9"/>
  <c r="J31" i="9"/>
  <c r="J25" i="9"/>
  <c r="J19" i="9"/>
  <c r="J97" i="9"/>
  <c r="J90" i="9"/>
  <c r="J82" i="9"/>
  <c r="J70" i="9"/>
  <c r="J56" i="9"/>
  <c r="J50" i="9"/>
  <c r="J42" i="9"/>
  <c r="J36" i="9"/>
  <c r="J24" i="9"/>
  <c r="J14" i="9"/>
  <c r="N12" i="9"/>
  <c r="J73" i="9"/>
  <c r="J67" i="9"/>
  <c r="J47" i="9"/>
  <c r="J39" i="9"/>
  <c r="J35" i="9"/>
  <c r="J23" i="9"/>
  <c r="J84" i="9"/>
  <c r="J78" i="9"/>
  <c r="J66" i="9"/>
  <c r="J62" i="9"/>
  <c r="J58" i="9"/>
  <c r="J52" i="9"/>
  <c r="J44" i="9"/>
  <c r="J34" i="9"/>
  <c r="J30" i="9"/>
  <c r="J22" i="9"/>
  <c r="N16" i="9"/>
  <c r="Z44" i="9"/>
  <c r="V73" i="9"/>
  <c r="J77" i="9"/>
  <c r="Z19" i="12"/>
  <c r="N39" i="12"/>
  <c r="Z40" i="12"/>
  <c r="L60" i="12"/>
  <c r="Z67" i="12"/>
  <c r="Z75" i="12"/>
  <c r="Z193" i="12"/>
  <c r="R31" i="14"/>
  <c r="Z29" i="15"/>
  <c r="N12" i="10"/>
  <c r="F18" i="10"/>
  <c r="V18" i="10"/>
  <c r="J22" i="10"/>
  <c r="R24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V36" i="11"/>
  <c r="J21" i="13"/>
  <c r="F27" i="13"/>
  <c r="F31" i="13"/>
  <c r="F34" i="13"/>
  <c r="J18" i="14"/>
  <c r="F24" i="14"/>
  <c r="V24" i="14"/>
  <c r="T12" i="15"/>
  <c r="L126" i="15"/>
  <c r="N126" i="15" s="1"/>
  <c r="X127" i="15"/>
  <c r="X163" i="15"/>
  <c r="Z163" i="15" s="1"/>
  <c r="N217" i="15"/>
  <c r="V21" i="16"/>
  <c r="V18" i="16"/>
  <c r="V36" i="16"/>
  <c r="V33" i="16"/>
  <c r="V29" i="16"/>
  <c r="V25" i="16"/>
  <c r="T18" i="16"/>
  <c r="V15" i="16"/>
  <c r="V22" i="16"/>
  <c r="V20" i="16"/>
  <c r="V16" i="16"/>
  <c r="Z12" i="16"/>
  <c r="V34" i="16"/>
  <c r="V31" i="16"/>
  <c r="V27" i="16"/>
  <c r="X12" i="16"/>
  <c r="N15" i="18"/>
  <c r="L15" i="18"/>
  <c r="N47" i="18"/>
  <c r="L47" i="18"/>
  <c r="N57" i="18"/>
  <c r="J101" i="18"/>
  <c r="R122" i="18"/>
  <c r="R130" i="18"/>
  <c r="J153" i="18"/>
  <c r="X170" i="18"/>
  <c r="Z170" i="18" s="1"/>
  <c r="J175" i="18"/>
  <c r="N178" i="18"/>
  <c r="N206" i="18"/>
  <c r="J215" i="18"/>
  <c r="N218" i="18"/>
  <c r="N226" i="18"/>
  <c r="X244" i="18"/>
  <c r="Z13" i="19"/>
  <c r="X13" i="19"/>
  <c r="L24" i="19"/>
  <c r="N54" i="21"/>
  <c r="Z67" i="21"/>
  <c r="J15" i="10"/>
  <c r="H18" i="10"/>
  <c r="F21" i="10"/>
  <c r="V21" i="10"/>
  <c r="J25" i="10"/>
  <c r="R27" i="10"/>
  <c r="J29" i="10"/>
  <c r="R31" i="10"/>
  <c r="J33" i="10"/>
  <c r="R34" i="10"/>
  <c r="J36" i="10"/>
  <c r="F18" i="11"/>
  <c r="V18" i="11"/>
  <c r="R24" i="11"/>
  <c r="F27" i="14"/>
  <c r="F31" i="14"/>
  <c r="V31" i="14"/>
  <c r="F34" i="14"/>
  <c r="V34" i="14"/>
  <c r="Z209" i="15"/>
  <c r="X209" i="15"/>
  <c r="X217" i="15"/>
  <c r="Z217" i="15" s="1"/>
  <c r="P216" i="15"/>
  <c r="R244" i="18"/>
  <c r="R233" i="18"/>
  <c r="R226" i="18"/>
  <c r="R221" i="18"/>
  <c r="R217" i="18"/>
  <c r="R213" i="18"/>
  <c r="R209" i="18"/>
  <c r="R205" i="18"/>
  <c r="R194" i="18"/>
  <c r="R189" i="18"/>
  <c r="R177" i="18"/>
  <c r="R170" i="18"/>
  <c r="R161" i="18"/>
  <c r="R157" i="18"/>
  <c r="R137" i="18"/>
  <c r="R129" i="18"/>
  <c r="R121" i="18"/>
  <c r="R113" i="18"/>
  <c r="R105" i="18"/>
  <c r="R97" i="18"/>
  <c r="R239" i="18"/>
  <c r="R236" i="18"/>
  <c r="R232" i="18"/>
  <c r="R229" i="18"/>
  <c r="R220" i="18"/>
  <c r="R216" i="18"/>
  <c r="R212" i="18"/>
  <c r="R208" i="18"/>
  <c r="R204" i="18"/>
  <c r="R200" i="18"/>
  <c r="R197" i="18"/>
  <c r="R188" i="18"/>
  <c r="R185" i="18"/>
  <c r="R180" i="18"/>
  <c r="R176" i="18"/>
  <c r="R173" i="18"/>
  <c r="R156" i="18"/>
  <c r="R149" i="18"/>
  <c r="R144" i="18"/>
  <c r="R136" i="18"/>
  <c r="R128" i="18"/>
  <c r="R120" i="18"/>
  <c r="R112" i="18"/>
  <c r="R104" i="18"/>
  <c r="R96" i="18"/>
  <c r="R242" i="18"/>
  <c r="R219" i="18"/>
  <c r="R211" i="18"/>
  <c r="R207" i="18"/>
  <c r="R203" i="18"/>
  <c r="R191" i="18"/>
  <c r="R179" i="18"/>
  <c r="R167" i="18"/>
  <c r="R160" i="18"/>
  <c r="R155" i="18"/>
  <c r="R143" i="18"/>
  <c r="R135" i="18"/>
  <c r="R127" i="18"/>
  <c r="R119" i="18"/>
  <c r="R111" i="18"/>
  <c r="R103" i="18"/>
  <c r="R248" i="18"/>
  <c r="R235" i="18"/>
  <c r="R231" i="18"/>
  <c r="R215" i="18"/>
  <c r="R202" i="18"/>
  <c r="R199" i="18"/>
  <c r="R187" i="18"/>
  <c r="R182" i="18"/>
  <c r="R175" i="18"/>
  <c r="R166" i="18"/>
  <c r="R154" i="18"/>
  <c r="R142" i="18"/>
  <c r="R134" i="18"/>
  <c r="R126" i="18"/>
  <c r="R118" i="18"/>
  <c r="R110" i="18"/>
  <c r="R102" i="18"/>
  <c r="R95" i="18"/>
  <c r="R240" i="18"/>
  <c r="R225" i="18"/>
  <c r="R218" i="18"/>
  <c r="R210" i="18"/>
  <c r="R206" i="18"/>
  <c r="R193" i="18"/>
  <c r="R190" i="18"/>
  <c r="R178" i="18"/>
  <c r="R169" i="18"/>
  <c r="R165" i="18"/>
  <c r="R153" i="18"/>
  <c r="R141" i="18"/>
  <c r="R133" i="18"/>
  <c r="R125" i="18"/>
  <c r="R117" i="18"/>
  <c r="R109" i="18"/>
  <c r="R101" i="18"/>
  <c r="R243" i="18"/>
  <c r="R228" i="18"/>
  <c r="R224" i="18"/>
  <c r="R201" i="18"/>
  <c r="R196" i="18"/>
  <c r="R184" i="18"/>
  <c r="R181" i="18"/>
  <c r="R172" i="18"/>
  <c r="R164" i="18"/>
  <c r="R152" i="18"/>
  <c r="R140" i="18"/>
  <c r="R132" i="18"/>
  <c r="R124" i="18"/>
  <c r="R116" i="18"/>
  <c r="R108" i="18"/>
  <c r="R100" i="18"/>
  <c r="R238" i="18"/>
  <c r="R227" i="18"/>
  <c r="R223" i="18"/>
  <c r="R195" i="18"/>
  <c r="R192" i="18"/>
  <c r="R171" i="18"/>
  <c r="R168" i="18"/>
  <c r="R163" i="18"/>
  <c r="R159" i="18"/>
  <c r="R151" i="18"/>
  <c r="R146" i="18"/>
  <c r="R139" i="18"/>
  <c r="R131" i="18"/>
  <c r="R123" i="18"/>
  <c r="R115" i="18"/>
  <c r="R107" i="18"/>
  <c r="R99" i="18"/>
  <c r="X35" i="18"/>
  <c r="Z35" i="18" s="1"/>
  <c r="X59" i="18"/>
  <c r="Z59" i="18" s="1"/>
  <c r="X83" i="18"/>
  <c r="Z83" i="18" s="1"/>
  <c r="R148" i="18"/>
  <c r="J225" i="18"/>
  <c r="J235" i="18"/>
  <c r="X238" i="18"/>
  <c r="L242" i="18"/>
  <c r="N242" i="18" s="1"/>
  <c r="Z244" i="18"/>
  <c r="T238" i="18"/>
  <c r="V21" i="26"/>
  <c r="V18" i="26"/>
  <c r="V36" i="26"/>
  <c r="V33" i="26"/>
  <c r="V29" i="26"/>
  <c r="V25" i="26"/>
  <c r="T18" i="26"/>
  <c r="X18" i="26" s="1"/>
  <c r="V15" i="26"/>
  <c r="V22" i="26"/>
  <c r="V20" i="26"/>
  <c r="V16" i="26"/>
  <c r="Z12" i="26"/>
  <c r="V34" i="26"/>
  <c r="V31" i="26"/>
  <c r="V27" i="26"/>
  <c r="V24" i="26"/>
  <c r="R16" i="10"/>
  <c r="J18" i="10"/>
  <c r="R20" i="10"/>
  <c r="F24" i="10"/>
  <c r="V24" i="10"/>
  <c r="F21" i="11"/>
  <c r="V21" i="11"/>
  <c r="R27" i="11"/>
  <c r="R31" i="11"/>
  <c r="R34" i="11"/>
  <c r="R15" i="13"/>
  <c r="P18" i="13"/>
  <c r="R25" i="13"/>
  <c r="J27" i="13"/>
  <c r="R29" i="13"/>
  <c r="J31" i="13"/>
  <c r="R33" i="13"/>
  <c r="J34" i="13"/>
  <c r="R36" i="13"/>
  <c r="Z12" i="14"/>
  <c r="F16" i="14"/>
  <c r="V16" i="14"/>
  <c r="F20" i="14"/>
  <c r="V20" i="14"/>
  <c r="J24" i="14"/>
  <c r="X13" i="15"/>
  <c r="Z13" i="15" s="1"/>
  <c r="L17" i="15"/>
  <c r="X21" i="15"/>
  <c r="Z21" i="15" s="1"/>
  <c r="L25" i="15"/>
  <c r="X29" i="15"/>
  <c r="L33" i="15"/>
  <c r="X37" i="15"/>
  <c r="Z37" i="15" s="1"/>
  <c r="L41" i="15"/>
  <c r="X45" i="15"/>
  <c r="L49" i="15"/>
  <c r="X53" i="15"/>
  <c r="Z53" i="15" s="1"/>
  <c r="L57" i="15"/>
  <c r="N57" i="15" s="1"/>
  <c r="X61" i="15"/>
  <c r="L65" i="15"/>
  <c r="N65" i="15" s="1"/>
  <c r="X69" i="15"/>
  <c r="Z69" i="15" s="1"/>
  <c r="L73" i="15"/>
  <c r="N73" i="15" s="1"/>
  <c r="Z153" i="15"/>
  <c r="N165" i="15"/>
  <c r="X175" i="15"/>
  <c r="Z179" i="15"/>
  <c r="N193" i="15"/>
  <c r="N196" i="15"/>
  <c r="Z34" i="16"/>
  <c r="X34" i="16"/>
  <c r="L23" i="18"/>
  <c r="N23" i="18" s="1"/>
  <c r="Z53" i="18"/>
  <c r="N56" i="18"/>
  <c r="N71" i="18"/>
  <c r="L71" i="18"/>
  <c r="Z92" i="18"/>
  <c r="R114" i="18"/>
  <c r="P146" i="18"/>
  <c r="Z148" i="18"/>
  <c r="R158" i="18"/>
  <c r="R183" i="18"/>
  <c r="R186" i="18"/>
  <c r="Z190" i="18"/>
  <c r="N192" i="18"/>
  <c r="Z226" i="18"/>
  <c r="X226" i="18"/>
  <c r="J231" i="18"/>
  <c r="N21" i="20"/>
  <c r="L21" i="20"/>
  <c r="J21" i="10"/>
  <c r="F27" i="10"/>
  <c r="V27" i="10"/>
  <c r="F31" i="10"/>
  <c r="V31" i="10"/>
  <c r="F34" i="10"/>
  <c r="V34" i="10"/>
  <c r="R16" i="11"/>
  <c r="R20" i="11"/>
  <c r="F24" i="11"/>
  <c r="V24" i="11"/>
  <c r="T12" i="12"/>
  <c r="J16" i="13"/>
  <c r="J20" i="13"/>
  <c r="F22" i="13"/>
  <c r="J27" i="14"/>
  <c r="J31" i="14"/>
  <c r="J34" i="14"/>
  <c r="D12" i="15"/>
  <c r="Z161" i="15"/>
  <c r="L177" i="15"/>
  <c r="N184" i="15"/>
  <c r="X43" i="18"/>
  <c r="Z43" i="18" s="1"/>
  <c r="L55" i="18"/>
  <c r="N55" i="18" s="1"/>
  <c r="J95" i="18"/>
  <c r="R106" i="18"/>
  <c r="L148" i="18"/>
  <c r="N160" i="18"/>
  <c r="L160" i="18"/>
  <c r="J165" i="18"/>
  <c r="R174" i="18"/>
  <c r="Z183" i="18"/>
  <c r="R214" i="18"/>
  <c r="Z242" i="18"/>
  <c r="Z32" i="21"/>
  <c r="X32" i="21"/>
  <c r="R24" i="27"/>
  <c r="R21" i="27"/>
  <c r="R18" i="27"/>
  <c r="R36" i="27"/>
  <c r="R33" i="27"/>
  <c r="R29" i="27"/>
  <c r="R25" i="27"/>
  <c r="P18" i="27"/>
  <c r="R15" i="27"/>
  <c r="R22" i="27"/>
  <c r="X12" i="27"/>
  <c r="R20" i="27"/>
  <c r="R16" i="27"/>
  <c r="R34" i="27"/>
  <c r="R31" i="27"/>
  <c r="R27" i="27"/>
  <c r="Z12" i="10"/>
  <c r="F16" i="10"/>
  <c r="V16" i="10"/>
  <c r="F20" i="10"/>
  <c r="V20" i="10"/>
  <c r="R22" i="10"/>
  <c r="J24" i="10"/>
  <c r="X12" i="11"/>
  <c r="F27" i="11"/>
  <c r="V27" i="11"/>
  <c r="F31" i="11"/>
  <c r="V31" i="11"/>
  <c r="T226" i="12"/>
  <c r="L12" i="13"/>
  <c r="F15" i="13"/>
  <c r="D18" i="13"/>
  <c r="R21" i="13"/>
  <c r="F25" i="13"/>
  <c r="F29" i="13"/>
  <c r="F33" i="13"/>
  <c r="F36" i="13"/>
  <c r="J16" i="14"/>
  <c r="J20" i="14"/>
  <c r="F22" i="14"/>
  <c r="V22" i="14"/>
  <c r="Z165" i="15"/>
  <c r="N177" i="15"/>
  <c r="X193" i="15"/>
  <c r="Z193" i="15" s="1"/>
  <c r="R24" i="17"/>
  <c r="R21" i="17"/>
  <c r="R18" i="17"/>
  <c r="R36" i="17"/>
  <c r="R33" i="17"/>
  <c r="R29" i="17"/>
  <c r="R25" i="17"/>
  <c r="P18" i="17"/>
  <c r="R15" i="17"/>
  <c r="R22" i="17"/>
  <c r="X12" i="17"/>
  <c r="R20" i="17"/>
  <c r="R16" i="17"/>
  <c r="J240" i="18"/>
  <c r="J228" i="18"/>
  <c r="J224" i="18"/>
  <c r="J218" i="18"/>
  <c r="J210" i="18"/>
  <c r="J206" i="18"/>
  <c r="J196" i="18"/>
  <c r="J190" i="18"/>
  <c r="J184" i="18"/>
  <c r="J178" i="18"/>
  <c r="J172" i="18"/>
  <c r="J164" i="18"/>
  <c r="J152" i="18"/>
  <c r="J140" i="18"/>
  <c r="J132" i="18"/>
  <c r="J124" i="18"/>
  <c r="J116" i="18"/>
  <c r="J108" i="18"/>
  <c r="J100" i="18"/>
  <c r="J243" i="18"/>
  <c r="J227" i="18"/>
  <c r="J223" i="18"/>
  <c r="J201" i="18"/>
  <c r="J195" i="18"/>
  <c r="J181" i="18"/>
  <c r="J171" i="18"/>
  <c r="J163" i="18"/>
  <c r="J159" i="18"/>
  <c r="J151" i="18"/>
  <c r="J139" i="18"/>
  <c r="J131" i="18"/>
  <c r="J123" i="18"/>
  <c r="J115" i="18"/>
  <c r="J107" i="18"/>
  <c r="J99" i="18"/>
  <c r="J238" i="18"/>
  <c r="J234" i="18"/>
  <c r="J230" i="18"/>
  <c r="J222" i="18"/>
  <c r="J214" i="18"/>
  <c r="J198" i="18"/>
  <c r="J192" i="18"/>
  <c r="J186" i="18"/>
  <c r="J174" i="18"/>
  <c r="J168" i="18"/>
  <c r="J162" i="18"/>
  <c r="J158" i="18"/>
  <c r="J150" i="18"/>
  <c r="J138" i="18"/>
  <c r="J130" i="18"/>
  <c r="J122" i="18"/>
  <c r="J114" i="18"/>
  <c r="J106" i="18"/>
  <c r="J98" i="18"/>
  <c r="J241" i="18"/>
  <c r="J233" i="18"/>
  <c r="J221" i="18"/>
  <c r="J217" i="18"/>
  <c r="J213" i="18"/>
  <c r="J209" i="18"/>
  <c r="J205" i="18"/>
  <c r="J189" i="18"/>
  <c r="J183" i="18"/>
  <c r="J177" i="18"/>
  <c r="J161" i="18"/>
  <c r="J157" i="18"/>
  <c r="H146" i="18"/>
  <c r="J137" i="18"/>
  <c r="J129" i="18"/>
  <c r="J121" i="18"/>
  <c r="J113" i="18"/>
  <c r="J105" i="18"/>
  <c r="J97" i="18"/>
  <c r="J244" i="18"/>
  <c r="J236" i="18"/>
  <c r="J232" i="18"/>
  <c r="J226" i="18"/>
  <c r="J220" i="18"/>
  <c r="J216" i="18"/>
  <c r="J212" i="18"/>
  <c r="J208" i="18"/>
  <c r="J204" i="18"/>
  <c r="J200" i="18"/>
  <c r="J194" i="18"/>
  <c r="J188" i="18"/>
  <c r="J180" i="18"/>
  <c r="J176" i="18"/>
  <c r="J170" i="18"/>
  <c r="J156" i="18"/>
  <c r="J148" i="18"/>
  <c r="J144" i="18"/>
  <c r="J136" i="18"/>
  <c r="J128" i="18"/>
  <c r="J120" i="18"/>
  <c r="J112" i="18"/>
  <c r="J104" i="18"/>
  <c r="J96" i="18"/>
  <c r="J239" i="18"/>
  <c r="J229" i="18"/>
  <c r="J219" i="18"/>
  <c r="J211" i="18"/>
  <c r="J207" i="18"/>
  <c r="J203" i="18"/>
  <c r="J197" i="18"/>
  <c r="J191" i="18"/>
  <c r="J185" i="18"/>
  <c r="J179" i="18"/>
  <c r="J173" i="18"/>
  <c r="J167" i="18"/>
  <c r="J155" i="18"/>
  <c r="J149" i="18"/>
  <c r="J143" i="18"/>
  <c r="J135" i="18"/>
  <c r="J127" i="18"/>
  <c r="J119" i="18"/>
  <c r="J111" i="18"/>
  <c r="J103" i="18"/>
  <c r="J248" i="18"/>
  <c r="J242" i="18"/>
  <c r="J202" i="18"/>
  <c r="J182" i="18"/>
  <c r="J166" i="18"/>
  <c r="J160" i="18"/>
  <c r="J154" i="18"/>
  <c r="J142" i="18"/>
  <c r="J134" i="18"/>
  <c r="J126" i="18"/>
  <c r="J118" i="18"/>
  <c r="J110" i="18"/>
  <c r="J102" i="18"/>
  <c r="L31" i="18"/>
  <c r="N31" i="18" s="1"/>
  <c r="L79" i="18"/>
  <c r="N79" i="18" s="1"/>
  <c r="X91" i="18"/>
  <c r="Z91" i="18" s="1"/>
  <c r="R98" i="18"/>
  <c r="R150" i="18"/>
  <c r="R234" i="18"/>
  <c r="V21" i="20"/>
  <c r="V18" i="20"/>
  <c r="V33" i="20"/>
  <c r="V29" i="20"/>
  <c r="V25" i="20"/>
  <c r="T18" i="20"/>
  <c r="V15" i="20"/>
  <c r="V22" i="20"/>
  <c r="V36" i="20"/>
  <c r="V20" i="20"/>
  <c r="V16" i="20"/>
  <c r="Z12" i="20"/>
  <c r="V34" i="20"/>
  <c r="V31" i="20"/>
  <c r="V27" i="20"/>
  <c r="X12" i="20"/>
  <c r="Z72" i="21"/>
  <c r="N74" i="21"/>
  <c r="F33" i="14"/>
  <c r="F36" i="14"/>
  <c r="V36" i="14"/>
  <c r="X126" i="15"/>
  <c r="Z126" i="15" s="1"/>
  <c r="N168" i="15"/>
  <c r="X19" i="18"/>
  <c r="Z19" i="18" s="1"/>
  <c r="Z28" i="18"/>
  <c r="Z37" i="18"/>
  <c r="N40" i="18"/>
  <c r="Z61" i="18"/>
  <c r="N64" i="18"/>
  <c r="Z67" i="18"/>
  <c r="X67" i="18"/>
  <c r="Z76" i="18"/>
  <c r="N88" i="18"/>
  <c r="J125" i="18"/>
  <c r="J133" i="18"/>
  <c r="Z160" i="18"/>
  <c r="Z168" i="18"/>
  <c r="N194" i="18"/>
  <c r="R198" i="18"/>
  <c r="R222" i="18"/>
  <c r="R230" i="18"/>
  <c r="R241" i="18"/>
  <c r="X16" i="19"/>
  <c r="Z19" i="21"/>
  <c r="X19" i="21"/>
  <c r="J16" i="10"/>
  <c r="R15" i="11"/>
  <c r="P18" i="11"/>
  <c r="R25" i="11"/>
  <c r="R29" i="11"/>
  <c r="R33" i="11"/>
  <c r="H226" i="12"/>
  <c r="J15" i="13"/>
  <c r="H18" i="13"/>
  <c r="J25" i="13"/>
  <c r="R27" i="13"/>
  <c r="J29" i="13"/>
  <c r="R31" i="13"/>
  <c r="J33" i="13"/>
  <c r="N12" i="14"/>
  <c r="X146" i="15"/>
  <c r="Z146" i="15" s="1"/>
  <c r="L153" i="15"/>
  <c r="N163" i="15"/>
  <c r="Z177" i="15"/>
  <c r="Z213" i="15"/>
  <c r="X213" i="15"/>
  <c r="Z24" i="17"/>
  <c r="X24" i="17"/>
  <c r="R31" i="17"/>
  <c r="L39" i="18"/>
  <c r="N39" i="18" s="1"/>
  <c r="X51" i="18"/>
  <c r="Z51" i="18" s="1"/>
  <c r="L63" i="18"/>
  <c r="N63" i="18" s="1"/>
  <c r="L87" i="18"/>
  <c r="N87" i="18" s="1"/>
  <c r="J117" i="18"/>
  <c r="J141" i="18"/>
  <c r="N148" i="18"/>
  <c r="N149" i="18"/>
  <c r="J193" i="18"/>
  <c r="N210" i="18"/>
  <c r="L244" i="18"/>
  <c r="N244" i="18" s="1"/>
  <c r="D238" i="18"/>
  <c r="X20" i="19"/>
  <c r="N33" i="21"/>
  <c r="L33" i="21"/>
  <c r="R161" i="28"/>
  <c r="R158" i="28"/>
  <c r="R155" i="28"/>
  <c r="R150" i="28"/>
  <c r="R123" i="28"/>
  <c r="R118" i="28"/>
  <c r="R106" i="28"/>
  <c r="R103" i="28"/>
  <c r="R154" i="28"/>
  <c r="R151" i="28"/>
  <c r="R146" i="28"/>
  <c r="R142" i="28"/>
  <c r="R138" i="28"/>
  <c r="R122" i="28"/>
  <c r="R119" i="28"/>
  <c r="R110" i="28"/>
  <c r="R107" i="28"/>
  <c r="R102" i="28"/>
  <c r="R160" i="28"/>
  <c r="R157" i="28"/>
  <c r="R133" i="28"/>
  <c r="R132" i="28"/>
  <c r="R131" i="28"/>
  <c r="R117" i="28"/>
  <c r="R116" i="28"/>
  <c r="R113" i="28"/>
  <c r="R112" i="28"/>
  <c r="R105" i="28"/>
  <c r="R97" i="28"/>
  <c r="R93" i="28"/>
  <c r="R81" i="28"/>
  <c r="R73" i="28"/>
  <c r="R65" i="28"/>
  <c r="R57" i="28"/>
  <c r="R166" i="28"/>
  <c r="R143" i="28"/>
  <c r="R141" i="28"/>
  <c r="R130" i="28"/>
  <c r="R126" i="28"/>
  <c r="R92" i="28"/>
  <c r="R80" i="28"/>
  <c r="R72" i="28"/>
  <c r="R64" i="28"/>
  <c r="R162" i="28"/>
  <c r="R156" i="28"/>
  <c r="R137" i="28"/>
  <c r="R104" i="28"/>
  <c r="R96" i="28"/>
  <c r="R91" i="28"/>
  <c r="R79" i="28"/>
  <c r="R71" i="28"/>
  <c r="R63" i="28"/>
  <c r="R56" i="28"/>
  <c r="R140" i="28"/>
  <c r="R139" i="28"/>
  <c r="R129" i="28"/>
  <c r="R128" i="28"/>
  <c r="R125" i="28"/>
  <c r="R124" i="28"/>
  <c r="R90" i="28"/>
  <c r="R78" i="28"/>
  <c r="R70" i="28"/>
  <c r="R62" i="28"/>
  <c r="R153" i="28"/>
  <c r="R136" i="28"/>
  <c r="R135" i="28"/>
  <c r="R115" i="28"/>
  <c r="R111" i="28"/>
  <c r="R109" i="28"/>
  <c r="R101" i="28"/>
  <c r="R89" i="28"/>
  <c r="R77" i="28"/>
  <c r="R69" i="28"/>
  <c r="R61" i="28"/>
  <c r="R121" i="28"/>
  <c r="R100" i="28"/>
  <c r="R88" i="28"/>
  <c r="R86" i="28"/>
  <c r="P84" i="28"/>
  <c r="R76" i="28"/>
  <c r="R68" i="28"/>
  <c r="R60" i="28"/>
  <c r="R152" i="28"/>
  <c r="R145" i="28"/>
  <c r="R144" i="28"/>
  <c r="R134" i="28"/>
  <c r="R114" i="28"/>
  <c r="R108" i="28"/>
  <c r="R99" i="28"/>
  <c r="R95" i="28"/>
  <c r="R75" i="28"/>
  <c r="R67" i="28"/>
  <c r="R59" i="28"/>
  <c r="R147" i="28"/>
  <c r="R74" i="28"/>
  <c r="R94" i="28"/>
  <c r="R82" i="28"/>
  <c r="R127" i="28"/>
  <c r="R148" i="28"/>
  <c r="R120" i="28"/>
  <c r="R87" i="28"/>
  <c r="R98" i="28"/>
  <c r="R149" i="28"/>
  <c r="R58" i="28"/>
  <c r="J21" i="16"/>
  <c r="F27" i="16"/>
  <c r="F31" i="16"/>
  <c r="F34" i="16"/>
  <c r="J18" i="17"/>
  <c r="F24" i="17"/>
  <c r="V24" i="17"/>
  <c r="T12" i="18"/>
  <c r="X12" i="18" s="1"/>
  <c r="F16" i="19"/>
  <c r="F20" i="19"/>
  <c r="R22" i="19"/>
  <c r="J21" i="20"/>
  <c r="H12" i="21"/>
  <c r="D12" i="21"/>
  <c r="X21" i="21"/>
  <c r="X88" i="21"/>
  <c r="Z90" i="21"/>
  <c r="X29" i="24"/>
  <c r="N25" i="25"/>
  <c r="N35" i="25"/>
  <c r="Z99" i="25"/>
  <c r="N111" i="25"/>
  <c r="Z113" i="25"/>
  <c r="L21" i="26"/>
  <c r="L15" i="28"/>
  <c r="N15" i="28" s="1"/>
  <c r="Z26" i="28"/>
  <c r="X35" i="28"/>
  <c r="Z141" i="28"/>
  <c r="R15" i="19"/>
  <c r="P18" i="19"/>
  <c r="R25" i="19"/>
  <c r="R29" i="19"/>
  <c r="R33" i="19"/>
  <c r="R36" i="19"/>
  <c r="Z63" i="21"/>
  <c r="Z20" i="23"/>
  <c r="X20" i="23"/>
  <c r="Z79" i="25"/>
  <c r="X111" i="25"/>
  <c r="T31" i="27"/>
  <c r="Z35" i="28"/>
  <c r="R15" i="16"/>
  <c r="P18" i="16"/>
  <c r="R25" i="16"/>
  <c r="J27" i="16"/>
  <c r="R29" i="16"/>
  <c r="J31" i="16"/>
  <c r="R33" i="16"/>
  <c r="J34" i="16"/>
  <c r="R36" i="16"/>
  <c r="Z12" i="17"/>
  <c r="F16" i="17"/>
  <c r="V16" i="17"/>
  <c r="F20" i="17"/>
  <c r="V20" i="17"/>
  <c r="J24" i="17"/>
  <c r="L173" i="18"/>
  <c r="N173" i="18" s="1"/>
  <c r="X183" i="18"/>
  <c r="L185" i="18"/>
  <c r="N185" i="18" s="1"/>
  <c r="L197" i="18"/>
  <c r="L229" i="18"/>
  <c r="N229" i="18" s="1"/>
  <c r="L239" i="18"/>
  <c r="N239" i="18" s="1"/>
  <c r="X241" i="18"/>
  <c r="Z241" i="18" s="1"/>
  <c r="J16" i="19"/>
  <c r="R18" i="19"/>
  <c r="J20" i="19"/>
  <c r="F22" i="19"/>
  <c r="V22" i="19"/>
  <c r="L34" i="19"/>
  <c r="X16" i="20"/>
  <c r="P18" i="20"/>
  <c r="X20" i="20"/>
  <c r="L24" i="20"/>
  <c r="R25" i="20"/>
  <c r="J27" i="20"/>
  <c r="R29" i="20"/>
  <c r="J31" i="20"/>
  <c r="R33" i="20"/>
  <c r="J34" i="20"/>
  <c r="L13" i="21"/>
  <c r="L18" i="21"/>
  <c r="L67" i="21"/>
  <c r="N67" i="21" s="1"/>
  <c r="N86" i="21"/>
  <c r="L93" i="21"/>
  <c r="X93" i="21"/>
  <c r="F36" i="22"/>
  <c r="F33" i="22"/>
  <c r="F29" i="22"/>
  <c r="F25" i="22"/>
  <c r="D18" i="22"/>
  <c r="F15" i="22"/>
  <c r="L12" i="22"/>
  <c r="F22" i="22"/>
  <c r="F34" i="22"/>
  <c r="F31" i="22"/>
  <c r="F27" i="22"/>
  <c r="F24" i="22"/>
  <c r="F21" i="22"/>
  <c r="F16" i="22"/>
  <c r="H12" i="25"/>
  <c r="X16" i="25"/>
  <c r="Z16" i="25" s="1"/>
  <c r="N20" i="25"/>
  <c r="X39" i="25"/>
  <c r="X71" i="25"/>
  <c r="N14" i="28"/>
  <c r="N19" i="28"/>
  <c r="L23" i="28"/>
  <c r="Z39" i="28"/>
  <c r="N43" i="28"/>
  <c r="L47" i="28"/>
  <c r="Z48" i="28"/>
  <c r="X116" i="28"/>
  <c r="Z116" i="28"/>
  <c r="L123" i="28"/>
  <c r="J16" i="16"/>
  <c r="J20" i="16"/>
  <c r="F22" i="16"/>
  <c r="J27" i="17"/>
  <c r="J31" i="17"/>
  <c r="J34" i="17"/>
  <c r="D12" i="18"/>
  <c r="H238" i="18"/>
  <c r="L12" i="19"/>
  <c r="F15" i="19"/>
  <c r="D18" i="19"/>
  <c r="R21" i="19"/>
  <c r="F25" i="19"/>
  <c r="F29" i="19"/>
  <c r="F33" i="19"/>
  <c r="F36" i="19"/>
  <c r="J16" i="20"/>
  <c r="J20" i="20"/>
  <c r="P12" i="21"/>
  <c r="L25" i="21"/>
  <c r="X52" i="21"/>
  <c r="Z52" i="21" s="1"/>
  <c r="X56" i="21"/>
  <c r="Z56" i="21" s="1"/>
  <c r="L61" i="21"/>
  <c r="N61" i="21" s="1"/>
  <c r="X72" i="21"/>
  <c r="L90" i="21"/>
  <c r="N90" i="21" s="1"/>
  <c r="J34" i="22"/>
  <c r="J31" i="22"/>
  <c r="J27" i="22"/>
  <c r="J21" i="22"/>
  <c r="J18" i="22"/>
  <c r="J36" i="22"/>
  <c r="J33" i="22"/>
  <c r="J29" i="22"/>
  <c r="J25" i="22"/>
  <c r="H18" i="22"/>
  <c r="J15" i="22"/>
  <c r="J20" i="22"/>
  <c r="L13" i="23"/>
  <c r="T12" i="25"/>
  <c r="N19" i="25"/>
  <c r="L28" i="25"/>
  <c r="Z39" i="25"/>
  <c r="Z71" i="25"/>
  <c r="N114" i="25"/>
  <c r="X19" i="28"/>
  <c r="N23" i="28"/>
  <c r="Z34" i="28"/>
  <c r="X43" i="28"/>
  <c r="N47" i="28"/>
  <c r="L56" i="28"/>
  <c r="N56" i="28" s="1"/>
  <c r="N86" i="28"/>
  <c r="N123" i="28"/>
  <c r="D216" i="15"/>
  <c r="T216" i="15"/>
  <c r="J16" i="17"/>
  <c r="J20" i="17"/>
  <c r="F18" i="19"/>
  <c r="R24" i="19"/>
  <c r="T12" i="21"/>
  <c r="X14" i="21"/>
  <c r="Z14" i="21" s="1"/>
  <c r="N56" i="21"/>
  <c r="N34" i="22"/>
  <c r="L34" i="22"/>
  <c r="P27" i="23"/>
  <c r="D12" i="25"/>
  <c r="L13" i="25"/>
  <c r="N13" i="25" s="1"/>
  <c r="Z19" i="28"/>
  <c r="Z43" i="28"/>
  <c r="X160" i="28"/>
  <c r="T27" i="30"/>
  <c r="F21" i="19"/>
  <c r="R27" i="19"/>
  <c r="R31" i="19"/>
  <c r="R34" i="19"/>
  <c r="N25" i="21"/>
  <c r="X43" i="21"/>
  <c r="Z43" i="21" s="1"/>
  <c r="Z54" i="21"/>
  <c r="Z74" i="21"/>
  <c r="T18" i="22"/>
  <c r="Z15" i="22"/>
  <c r="J34" i="24"/>
  <c r="J31" i="24"/>
  <c r="J27" i="24"/>
  <c r="J24" i="24"/>
  <c r="J21" i="24"/>
  <c r="J18" i="24"/>
  <c r="J36" i="24"/>
  <c r="J33" i="24"/>
  <c r="J29" i="24"/>
  <c r="J25" i="24"/>
  <c r="H18" i="24"/>
  <c r="J15" i="24"/>
  <c r="J22" i="24"/>
  <c r="N12" i="24"/>
  <c r="Z24" i="25"/>
  <c r="N88" i="25"/>
  <c r="Z95" i="25"/>
  <c r="D12" i="28"/>
  <c r="L16" i="28"/>
  <c r="N16" i="28" s="1"/>
  <c r="Z23" i="28"/>
  <c r="Z47" i="28"/>
  <c r="Z105" i="28"/>
  <c r="H216" i="15"/>
  <c r="J15" i="16"/>
  <c r="H18" i="16"/>
  <c r="J25" i="16"/>
  <c r="R27" i="16"/>
  <c r="J29" i="16"/>
  <c r="R31" i="16"/>
  <c r="J33" i="16"/>
  <c r="N12" i="17"/>
  <c r="R16" i="19"/>
  <c r="Z18" i="19"/>
  <c r="J15" i="20"/>
  <c r="H18" i="20"/>
  <c r="J25" i="20"/>
  <c r="R27" i="20"/>
  <c r="J29" i="20"/>
  <c r="R31" i="20"/>
  <c r="R34" i="20"/>
  <c r="N65" i="21"/>
  <c r="X79" i="21"/>
  <c r="Z79" i="21" s="1"/>
  <c r="L25" i="22"/>
  <c r="P27" i="22"/>
  <c r="Z13" i="23"/>
  <c r="X13" i="23"/>
  <c r="Z16" i="23"/>
  <c r="X16" i="23"/>
  <c r="L22" i="23"/>
  <c r="X33" i="24"/>
  <c r="X32" i="25"/>
  <c r="Z32" i="25" s="1"/>
  <c r="L36" i="25"/>
  <c r="N36" i="25" s="1"/>
  <c r="L105" i="25"/>
  <c r="N105" i="25" s="1"/>
  <c r="X34" i="26"/>
  <c r="Z18" i="28"/>
  <c r="Z27" i="28"/>
  <c r="Z42" i="28"/>
  <c r="Z51" i="28"/>
  <c r="Z56" i="28"/>
  <c r="Z86" i="28"/>
  <c r="L96" i="28"/>
  <c r="N96" i="28" s="1"/>
  <c r="X119" i="28"/>
  <c r="Z119" i="28" s="1"/>
  <c r="X157" i="28"/>
  <c r="Z157" i="28" s="1"/>
  <c r="V21" i="22"/>
  <c r="R27" i="22"/>
  <c r="R31" i="22"/>
  <c r="R34" i="22"/>
  <c r="N12" i="23"/>
  <c r="X15" i="23"/>
  <c r="F18" i="23"/>
  <c r="V18" i="23"/>
  <c r="J22" i="23"/>
  <c r="R24" i="23"/>
  <c r="L12" i="24"/>
  <c r="F15" i="24"/>
  <c r="V15" i="24"/>
  <c r="D18" i="24"/>
  <c r="T18" i="24"/>
  <c r="R21" i="24"/>
  <c r="F25" i="24"/>
  <c r="V25" i="24"/>
  <c r="F29" i="24"/>
  <c r="V29" i="24"/>
  <c r="F33" i="24"/>
  <c r="V33" i="24"/>
  <c r="F36" i="24"/>
  <c r="V36" i="24"/>
  <c r="X12" i="26"/>
  <c r="J21" i="26"/>
  <c r="F27" i="26"/>
  <c r="F31" i="26"/>
  <c r="F34" i="26"/>
  <c r="J18" i="27"/>
  <c r="Z18" i="27"/>
  <c r="F24" i="27"/>
  <c r="V24" i="27"/>
  <c r="T12" i="28"/>
  <c r="Z107" i="28"/>
  <c r="N137" i="28"/>
  <c r="Z151" i="28"/>
  <c r="N12" i="29"/>
  <c r="L29" i="29"/>
  <c r="F20" i="30"/>
  <c r="F16" i="30"/>
  <c r="F34" i="30"/>
  <c r="F31" i="30"/>
  <c r="F27" i="30"/>
  <c r="F21" i="30"/>
  <c r="F18" i="30"/>
  <c r="F36" i="30"/>
  <c r="F33" i="30"/>
  <c r="X15" i="30"/>
  <c r="F25" i="30"/>
  <c r="V78" i="31"/>
  <c r="V72" i="31"/>
  <c r="V64" i="31"/>
  <c r="V60" i="31"/>
  <c r="V56" i="31"/>
  <c r="V48" i="31"/>
  <c r="V44" i="31"/>
  <c r="V40" i="31"/>
  <c r="V28" i="31"/>
  <c r="V71" i="31"/>
  <c r="V63" i="31"/>
  <c r="V59" i="31"/>
  <c r="V51" i="31"/>
  <c r="V39" i="31"/>
  <c r="V27" i="31"/>
  <c r="V84" i="31"/>
  <c r="V74" i="31"/>
  <c r="V70" i="31"/>
  <c r="V66" i="31"/>
  <c r="V62" i="31"/>
  <c r="V50" i="31"/>
  <c r="V38" i="31"/>
  <c r="V34" i="31"/>
  <c r="V79" i="31"/>
  <c r="V73" i="31"/>
  <c r="V69" i="31"/>
  <c r="V65" i="31"/>
  <c r="V61" i="31"/>
  <c r="V53" i="31"/>
  <c r="V37" i="31"/>
  <c r="T32" i="31"/>
  <c r="V76" i="31"/>
  <c r="V68" i="31"/>
  <c r="V52" i="31"/>
  <c r="V36" i="31"/>
  <c r="V75" i="31"/>
  <c r="V67" i="31"/>
  <c r="V55" i="31"/>
  <c r="V47" i="31"/>
  <c r="V43" i="31"/>
  <c r="V35" i="31"/>
  <c r="V80" i="31"/>
  <c r="V58" i="31"/>
  <c r="V54" i="31"/>
  <c r="V46" i="31"/>
  <c r="V42" i="31"/>
  <c r="V30" i="31"/>
  <c r="V57" i="31"/>
  <c r="V49" i="31"/>
  <c r="V45" i="31"/>
  <c r="V41" i="31"/>
  <c r="V29" i="31"/>
  <c r="N21" i="31"/>
  <c r="Z78" i="31"/>
  <c r="N13" i="34"/>
  <c r="Z14" i="34"/>
  <c r="Z25" i="34"/>
  <c r="Z41" i="34"/>
  <c r="Z49" i="34"/>
  <c r="R16" i="22"/>
  <c r="J15" i="23"/>
  <c r="H18" i="23"/>
  <c r="F21" i="23"/>
  <c r="V21" i="23"/>
  <c r="J25" i="23"/>
  <c r="R27" i="23"/>
  <c r="J29" i="23"/>
  <c r="R31" i="23"/>
  <c r="J33" i="23"/>
  <c r="J36" i="23"/>
  <c r="F18" i="24"/>
  <c r="V18" i="24"/>
  <c r="R24" i="24"/>
  <c r="T111" i="25"/>
  <c r="F16" i="26"/>
  <c r="F20" i="26"/>
  <c r="R22" i="26"/>
  <c r="J24" i="26"/>
  <c r="J21" i="27"/>
  <c r="F27" i="27"/>
  <c r="V27" i="27"/>
  <c r="F31" i="27"/>
  <c r="V31" i="27"/>
  <c r="F34" i="27"/>
  <c r="Z161" i="28"/>
  <c r="T160" i="28"/>
  <c r="V15" i="29"/>
  <c r="J21" i="29"/>
  <c r="J24" i="30"/>
  <c r="J21" i="30"/>
  <c r="J36" i="30"/>
  <c r="J33" i="30"/>
  <c r="J29" i="30"/>
  <c r="J25" i="30"/>
  <c r="H18" i="30"/>
  <c r="J15" i="30"/>
  <c r="J22" i="30"/>
  <c r="N12" i="30"/>
  <c r="J34" i="30"/>
  <c r="J31" i="30"/>
  <c r="J27" i="30"/>
  <c r="N61" i="31"/>
  <c r="Z67" i="31"/>
  <c r="R165" i="34"/>
  <c r="R148" i="34"/>
  <c r="R140" i="34"/>
  <c r="R124" i="34"/>
  <c r="R121" i="34"/>
  <c r="R112" i="34"/>
  <c r="R109" i="34"/>
  <c r="R169" i="34"/>
  <c r="R159" i="34"/>
  <c r="R156" i="34"/>
  <c r="R144" i="34"/>
  <c r="R136" i="34"/>
  <c r="R160" i="34"/>
  <c r="R155" i="34"/>
  <c r="R151" i="34"/>
  <c r="R143" i="34"/>
  <c r="R135" i="34"/>
  <c r="R131" i="34"/>
  <c r="R128" i="34"/>
  <c r="R119" i="34"/>
  <c r="R116" i="34"/>
  <c r="R152" i="34"/>
  <c r="R134" i="34"/>
  <c r="R120" i="34"/>
  <c r="R111" i="34"/>
  <c r="R107" i="34"/>
  <c r="R94" i="34"/>
  <c r="R82" i="34"/>
  <c r="R74" i="34"/>
  <c r="R66" i="34"/>
  <c r="R133" i="34"/>
  <c r="R132" i="34"/>
  <c r="R127" i="34"/>
  <c r="R126" i="34"/>
  <c r="R125" i="34"/>
  <c r="R117" i="34"/>
  <c r="R110" i="34"/>
  <c r="R98" i="34"/>
  <c r="R93" i="34"/>
  <c r="R81" i="34"/>
  <c r="R73" i="34"/>
  <c r="R65" i="34"/>
  <c r="R58" i="34"/>
  <c r="R104" i="34"/>
  <c r="R92" i="34"/>
  <c r="R80" i="34"/>
  <c r="R72" i="34"/>
  <c r="R64" i="34"/>
  <c r="R158" i="34"/>
  <c r="R130" i="34"/>
  <c r="R123" i="34"/>
  <c r="R103" i="34"/>
  <c r="R91" i="34"/>
  <c r="R86" i="34"/>
  <c r="R79" i="34"/>
  <c r="R71" i="34"/>
  <c r="R63" i="34"/>
  <c r="R161" i="34"/>
  <c r="R122" i="34"/>
  <c r="R115" i="34"/>
  <c r="R114" i="34"/>
  <c r="R106" i="34"/>
  <c r="R102" i="34"/>
  <c r="R90" i="34"/>
  <c r="R88" i="34"/>
  <c r="P86" i="34"/>
  <c r="R78" i="34"/>
  <c r="R70" i="34"/>
  <c r="R62" i="34"/>
  <c r="R164" i="34"/>
  <c r="R157" i="34"/>
  <c r="R150" i="34"/>
  <c r="R149" i="34"/>
  <c r="R147" i="34"/>
  <c r="R101" i="34"/>
  <c r="R97" i="34"/>
  <c r="R77" i="34"/>
  <c r="R69" i="34"/>
  <c r="R61" i="34"/>
  <c r="R154" i="34"/>
  <c r="R146" i="34"/>
  <c r="R145" i="34"/>
  <c r="R142" i="34"/>
  <c r="R141" i="34"/>
  <c r="R139" i="34"/>
  <c r="R129" i="34"/>
  <c r="R118" i="34"/>
  <c r="R108" i="34"/>
  <c r="R105" i="34"/>
  <c r="R100" i="34"/>
  <c r="R96" i="34"/>
  <c r="R89" i="34"/>
  <c r="R84" i="34"/>
  <c r="R76" i="34"/>
  <c r="R68" i="34"/>
  <c r="R60" i="34"/>
  <c r="X12" i="34"/>
  <c r="R153" i="34"/>
  <c r="R138" i="34"/>
  <c r="R137" i="34"/>
  <c r="R113" i="34"/>
  <c r="R99" i="34"/>
  <c r="R95" i="34"/>
  <c r="R83" i="34"/>
  <c r="R75" i="34"/>
  <c r="R67" i="34"/>
  <c r="R59" i="34"/>
  <c r="Z33" i="34"/>
  <c r="F24" i="23"/>
  <c r="V24" i="23"/>
  <c r="V21" i="24"/>
  <c r="R27" i="24"/>
  <c r="R31" i="24"/>
  <c r="R34" i="24"/>
  <c r="P12" i="25"/>
  <c r="J27" i="26"/>
  <c r="J31" i="26"/>
  <c r="R33" i="26"/>
  <c r="J34" i="26"/>
  <c r="R36" i="26"/>
  <c r="F16" i="27"/>
  <c r="F20" i="27"/>
  <c r="J24" i="27"/>
  <c r="N157" i="28"/>
  <c r="V20" i="29"/>
  <c r="V16" i="29"/>
  <c r="Z12" i="29"/>
  <c r="V24" i="29"/>
  <c r="V21" i="29"/>
  <c r="T18" i="29"/>
  <c r="V36" i="29"/>
  <c r="X34" i="30"/>
  <c r="L34" i="31"/>
  <c r="Z158" i="34"/>
  <c r="V24" i="24"/>
  <c r="J16" i="26"/>
  <c r="J20" i="26"/>
  <c r="L160" i="28"/>
  <c r="N160" i="28" s="1"/>
  <c r="L25" i="29"/>
  <c r="N34" i="31"/>
  <c r="Z123" i="34"/>
  <c r="T27" i="37"/>
  <c r="Z18" i="37"/>
  <c r="F16" i="23"/>
  <c r="V16" i="23"/>
  <c r="F20" i="23"/>
  <c r="V20" i="23"/>
  <c r="X12" i="24"/>
  <c r="V27" i="24"/>
  <c r="F31" i="24"/>
  <c r="V31" i="24"/>
  <c r="V34" i="24"/>
  <c r="L16" i="25"/>
  <c r="N16" i="25" s="1"/>
  <c r="X20" i="25"/>
  <c r="Z20" i="25" s="1"/>
  <c r="L24" i="25"/>
  <c r="X28" i="25"/>
  <c r="L32" i="25"/>
  <c r="N32" i="25" s="1"/>
  <c r="X36" i="25"/>
  <c r="Z36" i="25" s="1"/>
  <c r="L84" i="25"/>
  <c r="L114" i="25"/>
  <c r="L12" i="26"/>
  <c r="F15" i="26"/>
  <c r="L16" i="26"/>
  <c r="D18" i="26"/>
  <c r="L20" i="26"/>
  <c r="R21" i="26"/>
  <c r="X22" i="26"/>
  <c r="F25" i="26"/>
  <c r="F29" i="26"/>
  <c r="F33" i="26"/>
  <c r="F36" i="26"/>
  <c r="J16" i="27"/>
  <c r="J20" i="27"/>
  <c r="F22" i="27"/>
  <c r="L34" i="27"/>
  <c r="H12" i="28"/>
  <c r="Z103" i="28"/>
  <c r="L105" i="28"/>
  <c r="N105" i="28" s="1"/>
  <c r="X109" i="28"/>
  <c r="L119" i="28"/>
  <c r="X153" i="28"/>
  <c r="Z155" i="28"/>
  <c r="L157" i="28"/>
  <c r="N24" i="29"/>
  <c r="V31" i="29"/>
  <c r="X33" i="29"/>
  <c r="V34" i="29"/>
  <c r="V20" i="30"/>
  <c r="V16" i="30"/>
  <c r="Z12" i="30"/>
  <c r="V34" i="30"/>
  <c r="V31" i="30"/>
  <c r="V27" i="30"/>
  <c r="V21" i="30"/>
  <c r="V18" i="30"/>
  <c r="V36" i="30"/>
  <c r="V33" i="30"/>
  <c r="V22" i="30"/>
  <c r="X25" i="30"/>
  <c r="V29" i="30"/>
  <c r="X13" i="31"/>
  <c r="Z13" i="31" s="1"/>
  <c r="P12" i="31"/>
  <c r="X34" i="31"/>
  <c r="N88" i="34"/>
  <c r="L24" i="23"/>
  <c r="J27" i="23"/>
  <c r="J31" i="23"/>
  <c r="J34" i="23"/>
  <c r="Z12" i="24"/>
  <c r="V16" i="24"/>
  <c r="L21" i="24"/>
  <c r="R22" i="24"/>
  <c r="X34" i="24"/>
  <c r="L61" i="25"/>
  <c r="N61" i="25" s="1"/>
  <c r="X79" i="25"/>
  <c r="L81" i="25"/>
  <c r="N81" i="25" s="1"/>
  <c r="X91" i="25"/>
  <c r="Z91" i="25" s="1"/>
  <c r="L93" i="25"/>
  <c r="N93" i="25" s="1"/>
  <c r="X113" i="25"/>
  <c r="N12" i="26"/>
  <c r="X15" i="26"/>
  <c r="F18" i="26"/>
  <c r="J22" i="26"/>
  <c r="X25" i="26"/>
  <c r="P27" i="26"/>
  <c r="X29" i="26"/>
  <c r="X33" i="26"/>
  <c r="L12" i="27"/>
  <c r="F15" i="27"/>
  <c r="L16" i="27"/>
  <c r="D18" i="27"/>
  <c r="L20" i="27"/>
  <c r="X22" i="27"/>
  <c r="F25" i="27"/>
  <c r="F29" i="27"/>
  <c r="F33" i="27"/>
  <c r="F36" i="27"/>
  <c r="X112" i="28"/>
  <c r="N121" i="28"/>
  <c r="X123" i="28"/>
  <c r="Z123" i="28" s="1"/>
  <c r="L33" i="29"/>
  <c r="Z34" i="31"/>
  <c r="J16" i="23"/>
  <c r="R15" i="24"/>
  <c r="P18" i="24"/>
  <c r="R25" i="24"/>
  <c r="R29" i="24"/>
  <c r="R33" i="24"/>
  <c r="J15" i="26"/>
  <c r="H18" i="26"/>
  <c r="J25" i="26"/>
  <c r="R27" i="26"/>
  <c r="J29" i="26"/>
  <c r="R31" i="26"/>
  <c r="J33" i="26"/>
  <c r="N12" i="27"/>
  <c r="Z128" i="28"/>
  <c r="N134" i="28"/>
  <c r="L161" i="28"/>
  <c r="J34" i="29"/>
  <c r="J31" i="29"/>
  <c r="J27" i="29"/>
  <c r="J24" i="29"/>
  <c r="J18" i="29"/>
  <c r="J36" i="29"/>
  <c r="J33" i="29"/>
  <c r="J29" i="29"/>
  <c r="J25" i="29"/>
  <c r="H18" i="29"/>
  <c r="J15" i="29"/>
  <c r="V22" i="29"/>
  <c r="V29" i="29"/>
  <c r="L13" i="30"/>
  <c r="L15" i="30"/>
  <c r="L21" i="30"/>
  <c r="N21" i="34"/>
  <c r="Z22" i="34"/>
  <c r="N29" i="34"/>
  <c r="Z30" i="34"/>
  <c r="N37" i="34"/>
  <c r="Z38" i="34"/>
  <c r="N45" i="34"/>
  <c r="Z46" i="34"/>
  <c r="Z54" i="34"/>
  <c r="N58" i="34"/>
  <c r="Z88" i="34"/>
  <c r="N98" i="34"/>
  <c r="R36" i="30"/>
  <c r="D12" i="31"/>
  <c r="N73" i="31"/>
  <c r="H78" i="31"/>
  <c r="L78" i="31" s="1"/>
  <c r="N79" i="31"/>
  <c r="N15" i="32"/>
  <c r="F27" i="32"/>
  <c r="F31" i="32"/>
  <c r="F34" i="32"/>
  <c r="Z18" i="33"/>
  <c r="V24" i="33"/>
  <c r="D27" i="33"/>
  <c r="T12" i="34"/>
  <c r="N165" i="34"/>
  <c r="L165" i="34"/>
  <c r="H163" i="34"/>
  <c r="R20" i="35"/>
  <c r="R16" i="35"/>
  <c r="R24" i="35"/>
  <c r="R21" i="35"/>
  <c r="X12" i="35"/>
  <c r="R27" i="35"/>
  <c r="F113" i="36"/>
  <c r="F98" i="36"/>
  <c r="F95" i="36"/>
  <c r="F87" i="36"/>
  <c r="F79" i="36"/>
  <c r="F70" i="36"/>
  <c r="F67" i="36"/>
  <c r="F62" i="36"/>
  <c r="F59" i="36"/>
  <c r="F54" i="36"/>
  <c r="F39" i="36"/>
  <c r="F35" i="36"/>
  <c r="F107" i="36"/>
  <c r="F94" i="36"/>
  <c r="F50" i="36"/>
  <c r="F45" i="36"/>
  <c r="F38" i="36"/>
  <c r="F34" i="36"/>
  <c r="F100" i="36"/>
  <c r="F97" i="36"/>
  <c r="F93" i="36"/>
  <c r="F76" i="36"/>
  <c r="F72" i="36"/>
  <c r="F69" i="36"/>
  <c r="F64" i="36"/>
  <c r="F61" i="36"/>
  <c r="F56" i="36"/>
  <c r="F53" i="36"/>
  <c r="F33" i="36"/>
  <c r="F21" i="36"/>
  <c r="F103" i="36"/>
  <c r="F92" i="36"/>
  <c r="F83" i="36"/>
  <c r="F52" i="36"/>
  <c r="F47" i="36"/>
  <c r="F44" i="36"/>
  <c r="F32" i="36"/>
  <c r="F27" i="36"/>
  <c r="F26" i="36"/>
  <c r="L12" i="36"/>
  <c r="F106" i="36"/>
  <c r="F101" i="36"/>
  <c r="F96" i="36"/>
  <c r="F89" i="36"/>
  <c r="F85" i="36"/>
  <c r="F81" i="36"/>
  <c r="F77" i="36"/>
  <c r="F73" i="36"/>
  <c r="F68" i="36"/>
  <c r="F65" i="36"/>
  <c r="F60" i="36"/>
  <c r="F57" i="36"/>
  <c r="F41" i="36"/>
  <c r="F29" i="36"/>
  <c r="F20" i="36"/>
  <c r="F109" i="36"/>
  <c r="F104" i="36"/>
  <c r="F88" i="36"/>
  <c r="F84" i="36"/>
  <c r="F80" i="36"/>
  <c r="F51" i="36"/>
  <c r="F48" i="36"/>
  <c r="F40" i="36"/>
  <c r="F36" i="36"/>
  <c r="F28" i="36"/>
  <c r="V102" i="36"/>
  <c r="V98" i="36"/>
  <c r="V90" i="36"/>
  <c r="V82" i="36"/>
  <c r="V74" i="36"/>
  <c r="V70" i="36"/>
  <c r="V62" i="36"/>
  <c r="V54" i="36"/>
  <c r="V46" i="36"/>
  <c r="V42" i="36"/>
  <c r="V30" i="36"/>
  <c r="V26" i="36"/>
  <c r="V107" i="36"/>
  <c r="V101" i="36"/>
  <c r="V89" i="36"/>
  <c r="V85" i="36"/>
  <c r="V81" i="36"/>
  <c r="V77" i="36"/>
  <c r="V73" i="36"/>
  <c r="V65" i="36"/>
  <c r="V57" i="36"/>
  <c r="V45" i="36"/>
  <c r="V41" i="36"/>
  <c r="V29" i="36"/>
  <c r="V104" i="36"/>
  <c r="V100" i="36"/>
  <c r="V88" i="36"/>
  <c r="V84" i="36"/>
  <c r="V80" i="36"/>
  <c r="V76" i="36"/>
  <c r="V72" i="36"/>
  <c r="V64" i="36"/>
  <c r="V56" i="36"/>
  <c r="V48" i="36"/>
  <c r="V40" i="36"/>
  <c r="V36" i="36"/>
  <c r="V28" i="36"/>
  <c r="V113" i="36"/>
  <c r="V103" i="36"/>
  <c r="V95" i="36"/>
  <c r="V87" i="36"/>
  <c r="V83" i="36"/>
  <c r="V79" i="36"/>
  <c r="V67" i="36"/>
  <c r="V59" i="36"/>
  <c r="V47" i="36"/>
  <c r="V39" i="36"/>
  <c r="V35" i="36"/>
  <c r="V27" i="36"/>
  <c r="V96" i="36"/>
  <c r="V92" i="36"/>
  <c r="V68" i="36"/>
  <c r="V60" i="36"/>
  <c r="V52" i="36"/>
  <c r="V44" i="36"/>
  <c r="V32" i="36"/>
  <c r="V20" i="36"/>
  <c r="V109" i="36"/>
  <c r="V99" i="36"/>
  <c r="V91" i="36"/>
  <c r="V75" i="36"/>
  <c r="V71" i="36"/>
  <c r="V63" i="36"/>
  <c r="V55" i="36"/>
  <c r="V51" i="36"/>
  <c r="V43" i="36"/>
  <c r="V31" i="36"/>
  <c r="L20" i="36"/>
  <c r="N20" i="36" s="1"/>
  <c r="V22" i="36"/>
  <c r="N26" i="36"/>
  <c r="R27" i="36"/>
  <c r="F37" i="36"/>
  <c r="V49" i="36"/>
  <c r="V58" i="36"/>
  <c r="J65" i="36"/>
  <c r="Z66" i="36"/>
  <c r="X66" i="36"/>
  <c r="J73" i="36"/>
  <c r="J77" i="36"/>
  <c r="F86" i="36"/>
  <c r="R87" i="36"/>
  <c r="J89" i="36"/>
  <c r="L96" i="36"/>
  <c r="N96" i="36" s="1"/>
  <c r="V97" i="36"/>
  <c r="Z25" i="37"/>
  <c r="X25" i="37"/>
  <c r="Z66" i="39"/>
  <c r="X66" i="39"/>
  <c r="V70" i="39"/>
  <c r="V94" i="39"/>
  <c r="V102" i="39"/>
  <c r="V111" i="39"/>
  <c r="N69" i="42"/>
  <c r="L69" i="42"/>
  <c r="N24" i="43"/>
  <c r="L24" i="43"/>
  <c r="X30" i="48"/>
  <c r="Z30" i="48" s="1"/>
  <c r="F93" i="51"/>
  <c r="F84" i="51"/>
  <c r="F75" i="51"/>
  <c r="F72" i="51"/>
  <c r="F64" i="51"/>
  <c r="F60" i="51"/>
  <c r="F87" i="51"/>
  <c r="F83" i="51"/>
  <c r="F78" i="51"/>
  <c r="F91" i="51"/>
  <c r="F74" i="51"/>
  <c r="F69" i="51"/>
  <c r="F58" i="51"/>
  <c r="F53" i="51"/>
  <c r="F52" i="51"/>
  <c r="F46" i="51"/>
  <c r="F38" i="51"/>
  <c r="F94" i="51"/>
  <c r="F89" i="51"/>
  <c r="F80" i="51"/>
  <c r="F77" i="51"/>
  <c r="F57" i="51"/>
  <c r="F98" i="51"/>
  <c r="F92" i="51"/>
  <c r="F86" i="51"/>
  <c r="F82" i="51"/>
  <c r="F79" i="51"/>
  <c r="F67" i="51"/>
  <c r="F73" i="51"/>
  <c r="F70" i="51"/>
  <c r="F66" i="51"/>
  <c r="F62" i="51"/>
  <c r="F54" i="51"/>
  <c r="F42" i="51"/>
  <c r="F88" i="51"/>
  <c r="F85" i="51"/>
  <c r="F81" i="51"/>
  <c r="F65" i="51"/>
  <c r="F61" i="51"/>
  <c r="F50" i="51"/>
  <c r="F41" i="51"/>
  <c r="D50" i="51"/>
  <c r="F63" i="51"/>
  <c r="F37" i="51"/>
  <c r="F36" i="51"/>
  <c r="F35" i="51"/>
  <c r="F76" i="51"/>
  <c r="F71" i="51"/>
  <c r="F55" i="51"/>
  <c r="F43" i="51"/>
  <c r="F45" i="51"/>
  <c r="F44" i="51"/>
  <c r="F68" i="51"/>
  <c r="F59" i="51"/>
  <c r="F39" i="51"/>
  <c r="F40" i="51"/>
  <c r="F48" i="51"/>
  <c r="F47" i="51"/>
  <c r="F56" i="51"/>
  <c r="H12" i="31"/>
  <c r="F16" i="32"/>
  <c r="F20" i="32"/>
  <c r="X12" i="33"/>
  <c r="J21" i="33"/>
  <c r="V27" i="33"/>
  <c r="V31" i="33"/>
  <c r="V34" i="33"/>
  <c r="Z144" i="34"/>
  <c r="X164" i="34"/>
  <c r="Z164" i="34" s="1"/>
  <c r="P163" i="34"/>
  <c r="X163" i="34" s="1"/>
  <c r="Z163" i="34" s="1"/>
  <c r="J100" i="36"/>
  <c r="J94" i="36"/>
  <c r="J76" i="36"/>
  <c r="J72" i="36"/>
  <c r="J64" i="36"/>
  <c r="J56" i="36"/>
  <c r="J50" i="36"/>
  <c r="J38" i="36"/>
  <c r="J34" i="36"/>
  <c r="J26" i="36"/>
  <c r="J22" i="36"/>
  <c r="J103" i="36"/>
  <c r="J97" i="36"/>
  <c r="J93" i="36"/>
  <c r="J83" i="36"/>
  <c r="J69" i="36"/>
  <c r="J61" i="36"/>
  <c r="J53" i="36"/>
  <c r="J47" i="36"/>
  <c r="J33" i="36"/>
  <c r="J27" i="36"/>
  <c r="J108" i="36"/>
  <c r="J92" i="36"/>
  <c r="J86" i="36"/>
  <c r="J78" i="36"/>
  <c r="J66" i="36"/>
  <c r="J58" i="36"/>
  <c r="J52" i="36"/>
  <c r="J44" i="36"/>
  <c r="J32" i="36"/>
  <c r="N12" i="36"/>
  <c r="J99" i="36"/>
  <c r="J91" i="36"/>
  <c r="J75" i="36"/>
  <c r="J71" i="36"/>
  <c r="J63" i="36"/>
  <c r="J55" i="36"/>
  <c r="J49" i="36"/>
  <c r="J43" i="36"/>
  <c r="J37" i="36"/>
  <c r="J31" i="36"/>
  <c r="J104" i="36"/>
  <c r="J98" i="36"/>
  <c r="J88" i="36"/>
  <c r="J84" i="36"/>
  <c r="J80" i="36"/>
  <c r="J70" i="36"/>
  <c r="J62" i="36"/>
  <c r="J54" i="36"/>
  <c r="J48" i="36"/>
  <c r="J40" i="36"/>
  <c r="J36" i="36"/>
  <c r="J28" i="36"/>
  <c r="J113" i="36"/>
  <c r="J107" i="36"/>
  <c r="J95" i="36"/>
  <c r="J87" i="36"/>
  <c r="J79" i="36"/>
  <c r="J67" i="36"/>
  <c r="J59" i="36"/>
  <c r="J45" i="36"/>
  <c r="J39" i="36"/>
  <c r="J35" i="36"/>
  <c r="H24" i="36"/>
  <c r="J20" i="36"/>
  <c r="F31" i="36"/>
  <c r="R34" i="36"/>
  <c r="R38" i="36"/>
  <c r="F43" i="36"/>
  <c r="F55" i="36"/>
  <c r="N60" i="36"/>
  <c r="L60" i="36"/>
  <c r="V66" i="36"/>
  <c r="J96" i="36"/>
  <c r="L108" i="36"/>
  <c r="N108" i="36" s="1"/>
  <c r="D106" i="36"/>
  <c r="L106" i="36" s="1"/>
  <c r="J21" i="37"/>
  <c r="J18" i="37"/>
  <c r="J36" i="37"/>
  <c r="J33" i="37"/>
  <c r="J29" i="37"/>
  <c r="J25" i="37"/>
  <c r="H18" i="37"/>
  <c r="J15" i="37"/>
  <c r="J22" i="37"/>
  <c r="N12" i="37"/>
  <c r="J34" i="37"/>
  <c r="J31" i="37"/>
  <c r="J27" i="37"/>
  <c r="J24" i="37"/>
  <c r="Z15" i="37"/>
  <c r="X15" i="37"/>
  <c r="P27" i="38"/>
  <c r="Z22" i="38"/>
  <c r="X22" i="38"/>
  <c r="V58" i="39"/>
  <c r="V66" i="39"/>
  <c r="Z75" i="39"/>
  <c r="V86" i="39"/>
  <c r="N104" i="39"/>
  <c r="L104" i="39"/>
  <c r="V106" i="39"/>
  <c r="Z34" i="40"/>
  <c r="X34" i="40"/>
  <c r="J84" i="45"/>
  <c r="J74" i="45"/>
  <c r="J60" i="45"/>
  <c r="J52" i="45"/>
  <c r="J44" i="45"/>
  <c r="J30" i="45"/>
  <c r="J24" i="45"/>
  <c r="J18" i="45"/>
  <c r="J81" i="45"/>
  <c r="J71" i="45"/>
  <c r="J57" i="45"/>
  <c r="J49" i="45"/>
  <c r="J41" i="45"/>
  <c r="J29" i="45"/>
  <c r="J86" i="45"/>
  <c r="J80" i="45"/>
  <c r="J66" i="45"/>
  <c r="J62" i="45"/>
  <c r="J54" i="45"/>
  <c r="J46" i="45"/>
  <c r="J40" i="45"/>
  <c r="J34" i="45"/>
  <c r="J28" i="45"/>
  <c r="J83" i="45"/>
  <c r="J79" i="45"/>
  <c r="J73" i="45"/>
  <c r="J59" i="45"/>
  <c r="J51" i="45"/>
  <c r="J43" i="45"/>
  <c r="J39" i="45"/>
  <c r="J27" i="45"/>
  <c r="J17" i="45"/>
  <c r="J85" i="45"/>
  <c r="J77" i="45"/>
  <c r="J69" i="45"/>
  <c r="J65" i="45"/>
  <c r="J61" i="45"/>
  <c r="J53" i="45"/>
  <c r="J45" i="45"/>
  <c r="J37" i="45"/>
  <c r="J33" i="45"/>
  <c r="J25" i="45"/>
  <c r="J94" i="45"/>
  <c r="J88" i="45"/>
  <c r="J82" i="45"/>
  <c r="J76" i="45"/>
  <c r="J72" i="45"/>
  <c r="J68" i="45"/>
  <c r="J64" i="45"/>
  <c r="J58" i="45"/>
  <c r="J50" i="45"/>
  <c r="J42" i="45"/>
  <c r="J36" i="45"/>
  <c r="J32" i="45"/>
  <c r="H21" i="45"/>
  <c r="J87" i="45"/>
  <c r="J75" i="45"/>
  <c r="J67" i="45"/>
  <c r="J63" i="45"/>
  <c r="J55" i="45"/>
  <c r="J47" i="45"/>
  <c r="J35" i="45"/>
  <c r="J31" i="45"/>
  <c r="J23" i="45"/>
  <c r="J19" i="45"/>
  <c r="J90" i="45"/>
  <c r="J78" i="45"/>
  <c r="J70" i="45"/>
  <c r="J56" i="45"/>
  <c r="J48" i="45"/>
  <c r="J26" i="45"/>
  <c r="Z25" i="46"/>
  <c r="X25" i="46"/>
  <c r="L44" i="48"/>
  <c r="N44" i="48" s="1"/>
  <c r="Z48" i="48"/>
  <c r="X128" i="34"/>
  <c r="Z156" i="34"/>
  <c r="R22" i="35"/>
  <c r="R25" i="35"/>
  <c r="L34" i="35"/>
  <c r="R36" i="35"/>
  <c r="R106" i="36"/>
  <c r="R99" i="36"/>
  <c r="R96" i="36"/>
  <c r="R91" i="36"/>
  <c r="R75" i="36"/>
  <c r="R71" i="36"/>
  <c r="R68" i="36"/>
  <c r="R63" i="36"/>
  <c r="R60" i="36"/>
  <c r="R55" i="36"/>
  <c r="R43" i="36"/>
  <c r="R31" i="36"/>
  <c r="R20" i="36"/>
  <c r="R109" i="36"/>
  <c r="R102" i="36"/>
  <c r="R90" i="36"/>
  <c r="R82" i="36"/>
  <c r="R74" i="36"/>
  <c r="R51" i="36"/>
  <c r="R46" i="36"/>
  <c r="R42" i="36"/>
  <c r="R30" i="36"/>
  <c r="R101" i="36"/>
  <c r="R98" i="36"/>
  <c r="R89" i="36"/>
  <c r="R85" i="36"/>
  <c r="R81" i="36"/>
  <c r="R77" i="36"/>
  <c r="R73" i="36"/>
  <c r="R70" i="36"/>
  <c r="R65" i="36"/>
  <c r="R62" i="36"/>
  <c r="R57" i="36"/>
  <c r="R54" i="36"/>
  <c r="R41" i="36"/>
  <c r="R29" i="36"/>
  <c r="R24" i="36"/>
  <c r="R107" i="36"/>
  <c r="R104" i="36"/>
  <c r="R88" i="36"/>
  <c r="R84" i="36"/>
  <c r="R80" i="36"/>
  <c r="R48" i="36"/>
  <c r="R45" i="36"/>
  <c r="R40" i="36"/>
  <c r="R36" i="36"/>
  <c r="R28" i="36"/>
  <c r="R26" i="36"/>
  <c r="P24" i="36"/>
  <c r="R108" i="36"/>
  <c r="R97" i="36"/>
  <c r="R93" i="36"/>
  <c r="R86" i="36"/>
  <c r="R78" i="36"/>
  <c r="R69" i="36"/>
  <c r="R66" i="36"/>
  <c r="R61" i="36"/>
  <c r="R58" i="36"/>
  <c r="R53" i="36"/>
  <c r="R33" i="36"/>
  <c r="R21" i="36"/>
  <c r="R92" i="36"/>
  <c r="R52" i="36"/>
  <c r="R49" i="36"/>
  <c r="R44" i="36"/>
  <c r="R37" i="36"/>
  <c r="R32" i="36"/>
  <c r="X12" i="36"/>
  <c r="Z12" i="36" s="1"/>
  <c r="D24" i="36"/>
  <c r="V34" i="36"/>
  <c r="V38" i="36"/>
  <c r="N51" i="36"/>
  <c r="J60" i="36"/>
  <c r="V61" i="36"/>
  <c r="L68" i="36"/>
  <c r="N68" i="36" s="1"/>
  <c r="V69" i="36"/>
  <c r="F75" i="36"/>
  <c r="X78" i="36"/>
  <c r="Z78" i="36" s="1"/>
  <c r="F91" i="36"/>
  <c r="F99" i="36"/>
  <c r="F108" i="36"/>
  <c r="J109" i="36"/>
  <c r="L12" i="37"/>
  <c r="L22" i="37"/>
  <c r="Z29" i="37"/>
  <c r="X29" i="37"/>
  <c r="N16" i="38"/>
  <c r="L16" i="38"/>
  <c r="P12" i="39"/>
  <c r="X16" i="39"/>
  <c r="Z16" i="39" s="1"/>
  <c r="Z34" i="39"/>
  <c r="N45" i="39"/>
  <c r="Z57" i="39"/>
  <c r="V61" i="39"/>
  <c r="V69" i="39"/>
  <c r="V78" i="39"/>
  <c r="V82" i="39"/>
  <c r="V93" i="39"/>
  <c r="V105" i="39"/>
  <c r="V36" i="40"/>
  <c r="V33" i="40"/>
  <c r="V29" i="40"/>
  <c r="V25" i="40"/>
  <c r="T18" i="40"/>
  <c r="V15" i="40"/>
  <c r="V22" i="40"/>
  <c r="V20" i="40"/>
  <c r="V16" i="40"/>
  <c r="Z12" i="40"/>
  <c r="V21" i="40"/>
  <c r="V18" i="40"/>
  <c r="V34" i="40"/>
  <c r="X34" i="41"/>
  <c r="V21" i="42"/>
  <c r="N35" i="42"/>
  <c r="V66" i="42"/>
  <c r="F87" i="45"/>
  <c r="F82" i="45"/>
  <c r="F75" i="45"/>
  <c r="F67" i="45"/>
  <c r="F63" i="45"/>
  <c r="F58" i="45"/>
  <c r="F55" i="45"/>
  <c r="F50" i="45"/>
  <c r="F47" i="45"/>
  <c r="F42" i="45"/>
  <c r="F35" i="45"/>
  <c r="F31" i="45"/>
  <c r="D21" i="45"/>
  <c r="F19" i="45"/>
  <c r="F74" i="45"/>
  <c r="F30" i="45"/>
  <c r="F18" i="45"/>
  <c r="F84" i="45"/>
  <c r="F81" i="45"/>
  <c r="F60" i="45"/>
  <c r="F57" i="45"/>
  <c r="F52" i="45"/>
  <c r="F49" i="45"/>
  <c r="F44" i="45"/>
  <c r="F41" i="45"/>
  <c r="F29" i="45"/>
  <c r="F24" i="45"/>
  <c r="F23" i="45"/>
  <c r="F80" i="45"/>
  <c r="F71" i="45"/>
  <c r="F40" i="45"/>
  <c r="F28" i="45"/>
  <c r="F78" i="45"/>
  <c r="F73" i="45"/>
  <c r="F70" i="45"/>
  <c r="F38" i="45"/>
  <c r="F26" i="45"/>
  <c r="F17" i="45"/>
  <c r="F90" i="45"/>
  <c r="F85" i="45"/>
  <c r="F77" i="45"/>
  <c r="F69" i="45"/>
  <c r="F65" i="45"/>
  <c r="F61" i="45"/>
  <c r="F56" i="45"/>
  <c r="F53" i="45"/>
  <c r="F48" i="45"/>
  <c r="F45" i="45"/>
  <c r="F37" i="45"/>
  <c r="F33" i="45"/>
  <c r="F25" i="45"/>
  <c r="F94" i="45"/>
  <c r="F88" i="45"/>
  <c r="F76" i="45"/>
  <c r="F72" i="45"/>
  <c r="F68" i="45"/>
  <c r="F64" i="45"/>
  <c r="F36" i="45"/>
  <c r="F32" i="45"/>
  <c r="F21" i="45"/>
  <c r="L12" i="45"/>
  <c r="N12" i="45" s="1"/>
  <c r="F54" i="45"/>
  <c r="F27" i="45"/>
  <c r="F62" i="45"/>
  <c r="F59" i="45"/>
  <c r="F46" i="45"/>
  <c r="F43" i="45"/>
  <c r="F79" i="45"/>
  <c r="F51" i="45"/>
  <c r="F39" i="45"/>
  <c r="F34" i="45"/>
  <c r="R27" i="29"/>
  <c r="R31" i="29"/>
  <c r="R34" i="29"/>
  <c r="R24" i="30"/>
  <c r="X35" i="31"/>
  <c r="Z35" i="31" s="1"/>
  <c r="Z80" i="31"/>
  <c r="J16" i="32"/>
  <c r="R18" i="32"/>
  <c r="J20" i="32"/>
  <c r="F22" i="32"/>
  <c r="V22" i="32"/>
  <c r="L34" i="32"/>
  <c r="X16" i="33"/>
  <c r="P18" i="33"/>
  <c r="X20" i="33"/>
  <c r="L24" i="33"/>
  <c r="R25" i="33"/>
  <c r="J27" i="33"/>
  <c r="R29" i="33"/>
  <c r="J31" i="33"/>
  <c r="R33" i="33"/>
  <c r="J34" i="33"/>
  <c r="R36" i="33"/>
  <c r="D12" i="34"/>
  <c r="X118" i="34"/>
  <c r="Z118" i="34" s="1"/>
  <c r="L132" i="34"/>
  <c r="N132" i="34" s="1"/>
  <c r="X154" i="34"/>
  <c r="Z154" i="34" s="1"/>
  <c r="X158" i="34"/>
  <c r="Z160" i="34"/>
  <c r="N20" i="35"/>
  <c r="L20" i="35"/>
  <c r="Z22" i="35"/>
  <c r="X22" i="35"/>
  <c r="X33" i="35"/>
  <c r="Z26" i="36"/>
  <c r="F30" i="36"/>
  <c r="Z37" i="36"/>
  <c r="F42" i="36"/>
  <c r="F46" i="36"/>
  <c r="X47" i="36"/>
  <c r="L49" i="36"/>
  <c r="N49" i="36" s="1"/>
  <c r="J51" i="36"/>
  <c r="R56" i="36"/>
  <c r="J68" i="36"/>
  <c r="V78" i="36"/>
  <c r="F82" i="36"/>
  <c r="X83" i="36"/>
  <c r="J85" i="36"/>
  <c r="Z86" i="36"/>
  <c r="X86" i="36"/>
  <c r="R95" i="36"/>
  <c r="J20" i="37"/>
  <c r="L20" i="39"/>
  <c r="X24" i="39"/>
  <c r="V29" i="39"/>
  <c r="V42" i="39"/>
  <c r="V46" i="39"/>
  <c r="V57" i="39"/>
  <c r="Z77" i="39"/>
  <c r="Z81" i="39"/>
  <c r="V85" i="39"/>
  <c r="N88" i="39"/>
  <c r="L88" i="39"/>
  <c r="V89" i="39"/>
  <c r="L111" i="39"/>
  <c r="N113" i="39"/>
  <c r="X12" i="40"/>
  <c r="V31" i="40"/>
  <c r="L21" i="41"/>
  <c r="R27" i="41"/>
  <c r="R34" i="41"/>
  <c r="X13" i="42"/>
  <c r="Z13" i="42" s="1"/>
  <c r="Z25" i="42"/>
  <c r="V58" i="42"/>
  <c r="J38" i="45"/>
  <c r="F66" i="45"/>
  <c r="R27" i="30"/>
  <c r="R31" i="30"/>
  <c r="R34" i="30"/>
  <c r="L80" i="31"/>
  <c r="L12" i="32"/>
  <c r="F15" i="32"/>
  <c r="D18" i="32"/>
  <c r="R21" i="32"/>
  <c r="F25" i="32"/>
  <c r="F29" i="32"/>
  <c r="F33" i="32"/>
  <c r="F36" i="32"/>
  <c r="J16" i="33"/>
  <c r="J20" i="33"/>
  <c r="V22" i="33"/>
  <c r="H12" i="34"/>
  <c r="L139" i="34"/>
  <c r="N139" i="34" s="1"/>
  <c r="R33" i="35"/>
  <c r="R34" i="35"/>
  <c r="F22" i="36"/>
  <c r="J30" i="36"/>
  <c r="V33" i="36"/>
  <c r="V37" i="36"/>
  <c r="J42" i="36"/>
  <c r="J46" i="36"/>
  <c r="R47" i="36"/>
  <c r="F49" i="36"/>
  <c r="F58" i="36"/>
  <c r="R59" i="36"/>
  <c r="F63" i="36"/>
  <c r="F71" i="36"/>
  <c r="F74" i="36"/>
  <c r="R76" i="36"/>
  <c r="J82" i="36"/>
  <c r="R83" i="36"/>
  <c r="V86" i="36"/>
  <c r="F90" i="36"/>
  <c r="R94" i="36"/>
  <c r="R100" i="36"/>
  <c r="Z33" i="37"/>
  <c r="X33" i="37"/>
  <c r="N20" i="38"/>
  <c r="L20" i="38"/>
  <c r="Z24" i="39"/>
  <c r="V41" i="39"/>
  <c r="V77" i="39"/>
  <c r="X113" i="39"/>
  <c r="L24" i="40"/>
  <c r="V37" i="42"/>
  <c r="N154" i="34"/>
  <c r="N16" i="35"/>
  <c r="L16" i="35"/>
  <c r="R31" i="35"/>
  <c r="L15" i="36"/>
  <c r="N15" i="36"/>
  <c r="T24" i="36"/>
  <c r="V24" i="36" s="1"/>
  <c r="Z47" i="36"/>
  <c r="R50" i="36"/>
  <c r="R64" i="36"/>
  <c r="F66" i="36"/>
  <c r="R67" i="36"/>
  <c r="R72" i="36"/>
  <c r="J74" i="36"/>
  <c r="Z83" i="36"/>
  <c r="J90" i="36"/>
  <c r="V94" i="36"/>
  <c r="F102" i="36"/>
  <c r="N106" i="36"/>
  <c r="X108" i="36"/>
  <c r="Z108" i="36" s="1"/>
  <c r="T106" i="36"/>
  <c r="V106" i="36" s="1"/>
  <c r="R113" i="36"/>
  <c r="F24" i="38"/>
  <c r="F21" i="38"/>
  <c r="F18" i="38"/>
  <c r="F36" i="38"/>
  <c r="F33" i="38"/>
  <c r="F29" i="38"/>
  <c r="F25" i="38"/>
  <c r="D18" i="38"/>
  <c r="F15" i="38"/>
  <c r="L12" i="38"/>
  <c r="F20" i="38"/>
  <c r="F16" i="38"/>
  <c r="F34" i="38"/>
  <c r="F31" i="38"/>
  <c r="F27" i="38"/>
  <c r="F22" i="38"/>
  <c r="D12" i="39"/>
  <c r="V112" i="39"/>
  <c r="V98" i="39"/>
  <c r="V90" i="39"/>
  <c r="V74" i="39"/>
  <c r="V62" i="39"/>
  <c r="V54" i="39"/>
  <c r="V50" i="39"/>
  <c r="V38" i="39"/>
  <c r="V34" i="39"/>
  <c r="V101" i="39"/>
  <c r="V97" i="39"/>
  <c r="V73" i="39"/>
  <c r="V65" i="39"/>
  <c r="V53" i="39"/>
  <c r="V49" i="39"/>
  <c r="V37" i="39"/>
  <c r="T32" i="39"/>
  <c r="V110" i="39"/>
  <c r="V100" i="39"/>
  <c r="V96" i="39"/>
  <c r="V80" i="39"/>
  <c r="V76" i="39"/>
  <c r="V68" i="39"/>
  <c r="V64" i="39"/>
  <c r="V56" i="39"/>
  <c r="V48" i="39"/>
  <c r="V44" i="39"/>
  <c r="V36" i="39"/>
  <c r="V113" i="39"/>
  <c r="V103" i="39"/>
  <c r="V95" i="39"/>
  <c r="V87" i="39"/>
  <c r="V79" i="39"/>
  <c r="V75" i="39"/>
  <c r="V67" i="39"/>
  <c r="V55" i="39"/>
  <c r="V47" i="39"/>
  <c r="V43" i="39"/>
  <c r="V35" i="39"/>
  <c r="V108" i="39"/>
  <c r="V104" i="39"/>
  <c r="V92" i="39"/>
  <c r="V88" i="39"/>
  <c r="V84" i="39"/>
  <c r="V72" i="39"/>
  <c r="V60" i="39"/>
  <c r="V52" i="39"/>
  <c r="V40" i="39"/>
  <c r="V28" i="39"/>
  <c r="V117" i="39"/>
  <c r="V107" i="39"/>
  <c r="V99" i="39"/>
  <c r="V91" i="39"/>
  <c r="V83" i="39"/>
  <c r="V71" i="39"/>
  <c r="V63" i="39"/>
  <c r="V59" i="39"/>
  <c r="V51" i="39"/>
  <c r="V39" i="39"/>
  <c r="V27" i="39"/>
  <c r="V45" i="39"/>
  <c r="N111" i="39"/>
  <c r="H110" i="39"/>
  <c r="R18" i="41"/>
  <c r="R36" i="41"/>
  <c r="R33" i="41"/>
  <c r="R29" i="41"/>
  <c r="R25" i="41"/>
  <c r="P18" i="41"/>
  <c r="R15" i="41"/>
  <c r="R22" i="41"/>
  <c r="X12" i="41"/>
  <c r="R24" i="41"/>
  <c r="R21" i="41"/>
  <c r="P12" i="42"/>
  <c r="Z22" i="47"/>
  <c r="X22" i="47"/>
  <c r="Z58" i="48"/>
  <c r="X58" i="48"/>
  <c r="X12" i="30"/>
  <c r="F21" i="32"/>
  <c r="R27" i="32"/>
  <c r="R31" i="32"/>
  <c r="R34" i="32"/>
  <c r="N12" i="33"/>
  <c r="V18" i="33"/>
  <c r="J22" i="33"/>
  <c r="L118" i="34"/>
  <c r="N118" i="34" s="1"/>
  <c r="X123" i="34"/>
  <c r="X130" i="34"/>
  <c r="Z130" i="34" s="1"/>
  <c r="L144" i="34"/>
  <c r="L160" i="34"/>
  <c r="N160" i="34" s="1"/>
  <c r="F24" i="35"/>
  <c r="F18" i="35"/>
  <c r="F36" i="35"/>
  <c r="F33" i="35"/>
  <c r="F29" i="35"/>
  <c r="F25" i="35"/>
  <c r="D18" i="35"/>
  <c r="F15" i="35"/>
  <c r="L12" i="35"/>
  <c r="F34" i="35"/>
  <c r="F31" i="35"/>
  <c r="F27" i="35"/>
  <c r="X15" i="35"/>
  <c r="P18" i="35"/>
  <c r="X29" i="35"/>
  <c r="Z16" i="36"/>
  <c r="L26" i="36"/>
  <c r="V50" i="36"/>
  <c r="J57" i="36"/>
  <c r="V93" i="36"/>
  <c r="J102" i="36"/>
  <c r="X103" i="36"/>
  <c r="Z103" i="36" s="1"/>
  <c r="J106" i="36"/>
  <c r="X107" i="36"/>
  <c r="P106" i="36"/>
  <c r="V108" i="36"/>
  <c r="J16" i="37"/>
  <c r="J18" i="38"/>
  <c r="J36" i="38"/>
  <c r="J33" i="38"/>
  <c r="J29" i="38"/>
  <c r="J25" i="38"/>
  <c r="H18" i="38"/>
  <c r="J15" i="38"/>
  <c r="J22" i="38"/>
  <c r="N12" i="38"/>
  <c r="J24" i="38"/>
  <c r="J21" i="38"/>
  <c r="H12" i="39"/>
  <c r="X23" i="39"/>
  <c r="X35" i="39"/>
  <c r="Z35" i="39" s="1"/>
  <c r="X55" i="39"/>
  <c r="Z55" i="39" s="1"/>
  <c r="L57" i="39"/>
  <c r="N57" i="39" s="1"/>
  <c r="N83" i="39"/>
  <c r="Z113" i="39"/>
  <c r="N21" i="40"/>
  <c r="L21" i="40"/>
  <c r="V22" i="41"/>
  <c r="V20" i="41"/>
  <c r="V16" i="41"/>
  <c r="Z12" i="41"/>
  <c r="V34" i="41"/>
  <c r="V31" i="41"/>
  <c r="V27" i="41"/>
  <c r="V18" i="41"/>
  <c r="V36" i="41"/>
  <c r="V33" i="41"/>
  <c r="V29" i="41"/>
  <c r="V25" i="41"/>
  <c r="T18" i="41"/>
  <c r="V15" i="41"/>
  <c r="R31" i="41"/>
  <c r="V100" i="42"/>
  <c r="V86" i="42"/>
  <c r="V78" i="42"/>
  <c r="V62" i="42"/>
  <c r="V54" i="42"/>
  <c r="V89" i="42"/>
  <c r="V85" i="42"/>
  <c r="V61" i="42"/>
  <c r="V53" i="42"/>
  <c r="V45" i="42"/>
  <c r="V98" i="42"/>
  <c r="V88" i="42"/>
  <c r="V84" i="42"/>
  <c r="V68" i="42"/>
  <c r="V64" i="42"/>
  <c r="V56" i="42"/>
  <c r="V44" i="42"/>
  <c r="V36" i="42"/>
  <c r="V32" i="42"/>
  <c r="V20" i="42"/>
  <c r="V101" i="42"/>
  <c r="V91" i="42"/>
  <c r="V83" i="42"/>
  <c r="V75" i="42"/>
  <c r="V67" i="42"/>
  <c r="V63" i="42"/>
  <c r="V55" i="42"/>
  <c r="V47" i="42"/>
  <c r="V35" i="42"/>
  <c r="V31" i="42"/>
  <c r="V99" i="42"/>
  <c r="V93" i="42"/>
  <c r="V81" i="42"/>
  <c r="V77" i="42"/>
  <c r="V73" i="42"/>
  <c r="V69" i="42"/>
  <c r="V65" i="42"/>
  <c r="V57" i="42"/>
  <c r="V96" i="42"/>
  <c r="V92" i="42"/>
  <c r="V80" i="42"/>
  <c r="V76" i="42"/>
  <c r="V72" i="42"/>
  <c r="V60" i="42"/>
  <c r="V52" i="42"/>
  <c r="V48" i="42"/>
  <c r="V40" i="42"/>
  <c r="V28" i="42"/>
  <c r="V105" i="42"/>
  <c r="V95" i="42"/>
  <c r="V87" i="42"/>
  <c r="V79" i="42"/>
  <c r="V71" i="42"/>
  <c r="V59" i="42"/>
  <c r="V51" i="42"/>
  <c r="V43" i="42"/>
  <c r="V39" i="42"/>
  <c r="V27" i="42"/>
  <c r="V94" i="42"/>
  <c r="V33" i="42"/>
  <c r="V74" i="42"/>
  <c r="V42" i="42"/>
  <c r="V34" i="42"/>
  <c r="V30" i="42"/>
  <c r="V29" i="42"/>
  <c r="V26" i="42"/>
  <c r="V49" i="42"/>
  <c r="V19" i="42"/>
  <c r="V50" i="42"/>
  <c r="V25" i="42"/>
  <c r="V38" i="42"/>
  <c r="T23" i="42"/>
  <c r="V90" i="42"/>
  <c r="Z16" i="42"/>
  <c r="Z98" i="42"/>
  <c r="N48" i="45"/>
  <c r="F83" i="45"/>
  <c r="N16" i="47"/>
  <c r="L16" i="47"/>
  <c r="R54" i="48"/>
  <c r="R50" i="48"/>
  <c r="R38" i="48"/>
  <c r="R34" i="48"/>
  <c r="R22" i="48"/>
  <c r="R57" i="48"/>
  <c r="R49" i="48"/>
  <c r="R46" i="48"/>
  <c r="R33" i="48"/>
  <c r="R29" i="48"/>
  <c r="R21" i="48"/>
  <c r="R19" i="48"/>
  <c r="P17" i="48"/>
  <c r="R53" i="48"/>
  <c r="R40" i="48"/>
  <c r="R37" i="48"/>
  <c r="R32" i="48"/>
  <c r="R28" i="48"/>
  <c r="R62" i="48"/>
  <c r="R59" i="48"/>
  <c r="R56" i="48"/>
  <c r="R48" i="48"/>
  <c r="R43" i="48"/>
  <c r="R31" i="48"/>
  <c r="R27" i="48"/>
  <c r="R20" i="48"/>
  <c r="R58" i="48"/>
  <c r="R45" i="48"/>
  <c r="R30" i="48"/>
  <c r="R25" i="48"/>
  <c r="R66" i="48"/>
  <c r="R52" i="48"/>
  <c r="R41" i="48"/>
  <c r="R36" i="48"/>
  <c r="R24" i="48"/>
  <c r="X12" i="48"/>
  <c r="R55" i="48"/>
  <c r="R51" i="48"/>
  <c r="R47" i="48"/>
  <c r="R44" i="48"/>
  <c r="R35" i="48"/>
  <c r="R23" i="48"/>
  <c r="R26" i="48"/>
  <c r="R42" i="48"/>
  <c r="R39" i="48"/>
  <c r="R15" i="29"/>
  <c r="P18" i="29"/>
  <c r="R25" i="29"/>
  <c r="R29" i="29"/>
  <c r="R33" i="29"/>
  <c r="R16" i="32"/>
  <c r="J15" i="33"/>
  <c r="H18" i="33"/>
  <c r="J25" i="33"/>
  <c r="R27" i="33"/>
  <c r="J29" i="33"/>
  <c r="R31" i="33"/>
  <c r="J33" i="33"/>
  <c r="L116" i="34"/>
  <c r="L123" i="34"/>
  <c r="N123" i="34" s="1"/>
  <c r="Z125" i="34"/>
  <c r="Z132" i="34"/>
  <c r="J18" i="35"/>
  <c r="J22" i="35"/>
  <c r="N12" i="35"/>
  <c r="J21" i="35"/>
  <c r="R15" i="35"/>
  <c r="R18" i="35"/>
  <c r="J24" i="35"/>
  <c r="R29" i="35"/>
  <c r="Z15" i="36"/>
  <c r="J21" i="36"/>
  <c r="R22" i="36"/>
  <c r="X27" i="36"/>
  <c r="Z27" i="36" s="1"/>
  <c r="J29" i="36"/>
  <c r="R35" i="36"/>
  <c r="L37" i="36"/>
  <c r="N37" i="36" s="1"/>
  <c r="R39" i="36"/>
  <c r="J41" i="36"/>
  <c r="Z49" i="36"/>
  <c r="V53" i="36"/>
  <c r="Z58" i="36"/>
  <c r="X58" i="36"/>
  <c r="F78" i="36"/>
  <c r="R79" i="36"/>
  <c r="J81" i="36"/>
  <c r="J101" i="36"/>
  <c r="R103" i="36"/>
  <c r="Z107" i="36"/>
  <c r="J27" i="38"/>
  <c r="J31" i="38"/>
  <c r="L19" i="39"/>
  <c r="N34" i="39"/>
  <c r="N69" i="39"/>
  <c r="X75" i="39"/>
  <c r="L77" i="39"/>
  <c r="N77" i="39" s="1"/>
  <c r="L81" i="39"/>
  <c r="Z102" i="39"/>
  <c r="X102" i="39"/>
  <c r="Z111" i="39"/>
  <c r="X16" i="40"/>
  <c r="V27" i="40"/>
  <c r="R20" i="41"/>
  <c r="Z24" i="41"/>
  <c r="X24" i="41"/>
  <c r="F86" i="45"/>
  <c r="V27" i="35"/>
  <c r="V31" i="35"/>
  <c r="V34" i="35"/>
  <c r="Z12" i="37"/>
  <c r="F16" i="37"/>
  <c r="V16" i="37"/>
  <c r="F20" i="37"/>
  <c r="V20" i="37"/>
  <c r="R22" i="37"/>
  <c r="X12" i="38"/>
  <c r="V27" i="38"/>
  <c r="V31" i="38"/>
  <c r="V34" i="38"/>
  <c r="N15" i="39"/>
  <c r="Z19" i="39"/>
  <c r="N23" i="39"/>
  <c r="N12" i="40"/>
  <c r="J22" i="40"/>
  <c r="R24" i="40"/>
  <c r="L12" i="41"/>
  <c r="F15" i="41"/>
  <c r="D18" i="41"/>
  <c r="F25" i="41"/>
  <c r="F29" i="41"/>
  <c r="F33" i="41"/>
  <c r="F36" i="41"/>
  <c r="L12" i="42"/>
  <c r="N12" i="42" s="1"/>
  <c r="J19" i="42"/>
  <c r="J20" i="42"/>
  <c r="J21" i="42"/>
  <c r="F26" i="42"/>
  <c r="F27" i="42"/>
  <c r="J37" i="42"/>
  <c r="J41" i="42"/>
  <c r="F42" i="42"/>
  <c r="F43" i="42"/>
  <c r="J50" i="42"/>
  <c r="N99" i="42"/>
  <c r="H98" i="42"/>
  <c r="L99" i="42"/>
  <c r="H31" i="44"/>
  <c r="N27" i="44"/>
  <c r="Z20" i="48"/>
  <c r="F22" i="48"/>
  <c r="V25" i="48"/>
  <c r="F38" i="48"/>
  <c r="L15" i="50"/>
  <c r="L25" i="50"/>
  <c r="Z17" i="51"/>
  <c r="Z52" i="51"/>
  <c r="R22" i="38"/>
  <c r="H18" i="40"/>
  <c r="J25" i="40"/>
  <c r="R27" i="40"/>
  <c r="J29" i="40"/>
  <c r="R31" i="40"/>
  <c r="J33" i="40"/>
  <c r="R34" i="40"/>
  <c r="J36" i="40"/>
  <c r="F18" i="41"/>
  <c r="J22" i="41"/>
  <c r="F30" i="42"/>
  <c r="F31" i="42"/>
  <c r="J44" i="42"/>
  <c r="X46" i="42"/>
  <c r="Z46" i="42" s="1"/>
  <c r="J51" i="42"/>
  <c r="J76" i="42"/>
  <c r="F79" i="42"/>
  <c r="F105" i="42"/>
  <c r="V22" i="44"/>
  <c r="V20" i="44"/>
  <c r="V16" i="44"/>
  <c r="Z12" i="44"/>
  <c r="V34" i="44"/>
  <c r="V31" i="44"/>
  <c r="V27" i="44"/>
  <c r="V21" i="44"/>
  <c r="V18" i="44"/>
  <c r="V36" i="44"/>
  <c r="V33" i="44"/>
  <c r="V29" i="44"/>
  <c r="V25" i="44"/>
  <c r="T18" i="44"/>
  <c r="V15" i="44"/>
  <c r="V82" i="45"/>
  <c r="V78" i="45"/>
  <c r="V70" i="45"/>
  <c r="V58" i="45"/>
  <c r="V50" i="45"/>
  <c r="V42" i="45"/>
  <c r="V38" i="45"/>
  <c r="V26" i="45"/>
  <c r="T21" i="45"/>
  <c r="V85" i="45"/>
  <c r="V77" i="45"/>
  <c r="V69" i="45"/>
  <c r="V65" i="45"/>
  <c r="V61" i="45"/>
  <c r="V53" i="45"/>
  <c r="V45" i="45"/>
  <c r="V37" i="45"/>
  <c r="V33" i="45"/>
  <c r="V25" i="45"/>
  <c r="V94" i="45"/>
  <c r="V88" i="45"/>
  <c r="V84" i="45"/>
  <c r="V76" i="45"/>
  <c r="V72" i="45"/>
  <c r="V68" i="45"/>
  <c r="V64" i="45"/>
  <c r="V60" i="45"/>
  <c r="V52" i="45"/>
  <c r="V44" i="45"/>
  <c r="V36" i="45"/>
  <c r="V32" i="45"/>
  <c r="V24" i="45"/>
  <c r="V87" i="45"/>
  <c r="V75" i="45"/>
  <c r="V71" i="45"/>
  <c r="V67" i="45"/>
  <c r="V63" i="45"/>
  <c r="V55" i="45"/>
  <c r="V47" i="45"/>
  <c r="V35" i="45"/>
  <c r="V31" i="45"/>
  <c r="V19" i="45"/>
  <c r="V81" i="45"/>
  <c r="V73" i="45"/>
  <c r="V57" i="45"/>
  <c r="V49" i="45"/>
  <c r="V41" i="45"/>
  <c r="V29" i="45"/>
  <c r="V17" i="45"/>
  <c r="V90" i="45"/>
  <c r="V80" i="45"/>
  <c r="V56" i="45"/>
  <c r="V48" i="45"/>
  <c r="V40" i="45"/>
  <c r="V28" i="45"/>
  <c r="V83" i="45"/>
  <c r="V79" i="45"/>
  <c r="V59" i="45"/>
  <c r="V51" i="45"/>
  <c r="V43" i="45"/>
  <c r="V39" i="45"/>
  <c r="V27" i="45"/>
  <c r="V23" i="45"/>
  <c r="V21" i="45"/>
  <c r="N24" i="45"/>
  <c r="Z29" i="46"/>
  <c r="X29" i="46"/>
  <c r="P27" i="47"/>
  <c r="X19" i="48"/>
  <c r="Z19" i="48" s="1"/>
  <c r="F41" i="48"/>
  <c r="L14" i="51"/>
  <c r="N14" i="51" s="1"/>
  <c r="V15" i="35"/>
  <c r="T18" i="35"/>
  <c r="V25" i="35"/>
  <c r="V29" i="35"/>
  <c r="V33" i="35"/>
  <c r="V36" i="35"/>
  <c r="F18" i="37"/>
  <c r="V18" i="37"/>
  <c r="V15" i="38"/>
  <c r="T18" i="38"/>
  <c r="X18" i="38" s="1"/>
  <c r="R21" i="38"/>
  <c r="V25" i="38"/>
  <c r="V29" i="38"/>
  <c r="V33" i="38"/>
  <c r="V36" i="38"/>
  <c r="D110" i="39"/>
  <c r="T110" i="39"/>
  <c r="R22" i="40"/>
  <c r="J24" i="40"/>
  <c r="J21" i="41"/>
  <c r="F27" i="41"/>
  <c r="F31" i="41"/>
  <c r="F34" i="41"/>
  <c r="D23" i="42"/>
  <c r="J29" i="42"/>
  <c r="J35" i="42"/>
  <c r="F39" i="42"/>
  <c r="F47" i="42"/>
  <c r="N48" i="42"/>
  <c r="L48" i="42"/>
  <c r="J54" i="42"/>
  <c r="X55" i="42"/>
  <c r="Z55" i="42" s="1"/>
  <c r="F57" i="42"/>
  <c r="Z61" i="42"/>
  <c r="X98" i="42"/>
  <c r="Z16" i="43"/>
  <c r="X16" i="43"/>
  <c r="N21" i="44"/>
  <c r="L21" i="44"/>
  <c r="Z34" i="44"/>
  <c r="X34" i="44"/>
  <c r="V34" i="45"/>
  <c r="Z58" i="45"/>
  <c r="V74" i="45"/>
  <c r="F21" i="47"/>
  <c r="F18" i="47"/>
  <c r="F36" i="47"/>
  <c r="F33" i="47"/>
  <c r="F29" i="47"/>
  <c r="F25" i="47"/>
  <c r="D18" i="47"/>
  <c r="F15" i="47"/>
  <c r="L12" i="47"/>
  <c r="F22" i="47"/>
  <c r="F20" i="47"/>
  <c r="F16" i="47"/>
  <c r="F34" i="47"/>
  <c r="F31" i="47"/>
  <c r="F27" i="47"/>
  <c r="F24" i="47"/>
  <c r="V57" i="48"/>
  <c r="V53" i="48"/>
  <c r="V49" i="48"/>
  <c r="V37" i="48"/>
  <c r="V33" i="48"/>
  <c r="V29" i="48"/>
  <c r="V21" i="48"/>
  <c r="V62" i="48"/>
  <c r="V56" i="48"/>
  <c r="V48" i="48"/>
  <c r="V40" i="48"/>
  <c r="V32" i="48"/>
  <c r="V28" i="48"/>
  <c r="V20" i="48"/>
  <c r="V59" i="48"/>
  <c r="V43" i="48"/>
  <c r="V39" i="48"/>
  <c r="V31" i="48"/>
  <c r="V27" i="48"/>
  <c r="V15" i="48"/>
  <c r="V58" i="48"/>
  <c r="V42" i="48"/>
  <c r="V30" i="48"/>
  <c r="V26" i="48"/>
  <c r="V66" i="48"/>
  <c r="V52" i="48"/>
  <c r="V44" i="48"/>
  <c r="V36" i="48"/>
  <c r="V24" i="48"/>
  <c r="Z12" i="48"/>
  <c r="V55" i="48"/>
  <c r="V51" i="48"/>
  <c r="V47" i="48"/>
  <c r="V35" i="48"/>
  <c r="V23" i="48"/>
  <c r="V19" i="48"/>
  <c r="V17" i="48"/>
  <c r="V54" i="48"/>
  <c r="V50" i="48"/>
  <c r="V46" i="48"/>
  <c r="V38" i="48"/>
  <c r="V34" i="48"/>
  <c r="V22" i="48"/>
  <c r="T17" i="48"/>
  <c r="Z41" i="48"/>
  <c r="V18" i="35"/>
  <c r="F21" i="37"/>
  <c r="V21" i="37"/>
  <c r="R27" i="37"/>
  <c r="R31" i="37"/>
  <c r="V18" i="38"/>
  <c r="R24" i="38"/>
  <c r="R15" i="40"/>
  <c r="P18" i="40"/>
  <c r="R25" i="40"/>
  <c r="J27" i="40"/>
  <c r="R29" i="40"/>
  <c r="J31" i="40"/>
  <c r="R33" i="40"/>
  <c r="J34" i="40"/>
  <c r="R36" i="40"/>
  <c r="F16" i="41"/>
  <c r="F20" i="41"/>
  <c r="J24" i="41"/>
  <c r="X15" i="42"/>
  <c r="F23" i="42"/>
  <c r="F25" i="42"/>
  <c r="Z26" i="42"/>
  <c r="J33" i="42"/>
  <c r="F38" i="42"/>
  <c r="Z42" i="42"/>
  <c r="J48" i="42"/>
  <c r="L53" i="42"/>
  <c r="N53" i="42" s="1"/>
  <c r="N57" i="42"/>
  <c r="L57" i="42"/>
  <c r="Z63" i="42"/>
  <c r="X63" i="42"/>
  <c r="N65" i="42"/>
  <c r="L65" i="42"/>
  <c r="J86" i="42"/>
  <c r="D98" i="42"/>
  <c r="N101" i="42"/>
  <c r="D27" i="43"/>
  <c r="X13" i="45"/>
  <c r="Z13" i="45" s="1"/>
  <c r="P12" i="45"/>
  <c r="Z66" i="45"/>
  <c r="L73" i="45"/>
  <c r="N73" i="45" s="1"/>
  <c r="J18" i="46"/>
  <c r="J36" i="46"/>
  <c r="J33" i="46"/>
  <c r="J29" i="46"/>
  <c r="J25" i="46"/>
  <c r="H18" i="46"/>
  <c r="J15" i="46"/>
  <c r="J22" i="46"/>
  <c r="N12" i="46"/>
  <c r="J34" i="46"/>
  <c r="J31" i="46"/>
  <c r="J27" i="46"/>
  <c r="J24" i="46"/>
  <c r="J21" i="46"/>
  <c r="Z15" i="46"/>
  <c r="X15" i="46"/>
  <c r="N20" i="47"/>
  <c r="L20" i="47"/>
  <c r="V41" i="48"/>
  <c r="X18" i="51"/>
  <c r="F24" i="37"/>
  <c r="V24" i="37"/>
  <c r="R27" i="38"/>
  <c r="R31" i="38"/>
  <c r="R34" i="38"/>
  <c r="J16" i="40"/>
  <c r="R18" i="40"/>
  <c r="J20" i="40"/>
  <c r="J27" i="41"/>
  <c r="J31" i="41"/>
  <c r="J34" i="41"/>
  <c r="F100" i="42"/>
  <c r="F91" i="42"/>
  <c r="F83" i="42"/>
  <c r="F78" i="42"/>
  <c r="F75" i="42"/>
  <c r="F67" i="42"/>
  <c r="F94" i="42"/>
  <c r="F82" i="42"/>
  <c r="F74" i="42"/>
  <c r="F70" i="42"/>
  <c r="F66" i="42"/>
  <c r="F61" i="42"/>
  <c r="F58" i="42"/>
  <c r="F53" i="42"/>
  <c r="F50" i="42"/>
  <c r="F98" i="42"/>
  <c r="F93" i="42"/>
  <c r="F88" i="42"/>
  <c r="F81" i="42"/>
  <c r="F77" i="42"/>
  <c r="F73" i="42"/>
  <c r="F49" i="42"/>
  <c r="F44" i="42"/>
  <c r="F41" i="42"/>
  <c r="F29" i="42"/>
  <c r="F101" i="42"/>
  <c r="F96" i="42"/>
  <c r="F80" i="42"/>
  <c r="F72" i="42"/>
  <c r="F63" i="42"/>
  <c r="F60" i="42"/>
  <c r="F55" i="42"/>
  <c r="F52" i="42"/>
  <c r="F40" i="42"/>
  <c r="F35" i="42"/>
  <c r="F28" i="42"/>
  <c r="F99" i="42"/>
  <c r="F86" i="42"/>
  <c r="F69" i="42"/>
  <c r="F65" i="42"/>
  <c r="F62" i="42"/>
  <c r="F92" i="42"/>
  <c r="F89" i="42"/>
  <c r="F85" i="42"/>
  <c r="F76" i="42"/>
  <c r="F48" i="42"/>
  <c r="F45" i="42"/>
  <c r="F37" i="42"/>
  <c r="F33" i="42"/>
  <c r="F95" i="42"/>
  <c r="F84" i="42"/>
  <c r="F71" i="42"/>
  <c r="F68" i="42"/>
  <c r="F64" i="42"/>
  <c r="F59" i="42"/>
  <c r="F56" i="42"/>
  <c r="F51" i="42"/>
  <c r="F36" i="42"/>
  <c r="F32" i="42"/>
  <c r="F20" i="42"/>
  <c r="F19" i="42"/>
  <c r="H103" i="42"/>
  <c r="N25" i="42"/>
  <c r="J38" i="42"/>
  <c r="Z20" i="43"/>
  <c r="X20" i="43"/>
  <c r="V24" i="44"/>
  <c r="V66" i="45"/>
  <c r="X71" i="45"/>
  <c r="Z71" i="45" s="1"/>
  <c r="F53" i="48"/>
  <c r="F42" i="48"/>
  <c r="F37" i="48"/>
  <c r="F26" i="48"/>
  <c r="F62" i="48"/>
  <c r="F56" i="48"/>
  <c r="F48" i="48"/>
  <c r="F45" i="48"/>
  <c r="F25" i="48"/>
  <c r="F20" i="48"/>
  <c r="F19" i="48"/>
  <c r="F66" i="48"/>
  <c r="F52" i="48"/>
  <c r="F39" i="48"/>
  <c r="F36" i="48"/>
  <c r="F24" i="48"/>
  <c r="F15" i="48"/>
  <c r="F58" i="48"/>
  <c r="F55" i="48"/>
  <c r="F51" i="48"/>
  <c r="F47" i="48"/>
  <c r="F35" i="48"/>
  <c r="F30" i="48"/>
  <c r="F23" i="48"/>
  <c r="F57" i="48"/>
  <c r="F49" i="48"/>
  <c r="F44" i="48"/>
  <c r="F33" i="48"/>
  <c r="F29" i="48"/>
  <c r="F21" i="48"/>
  <c r="F40" i="48"/>
  <c r="F32" i="48"/>
  <c r="F28" i="48"/>
  <c r="F59" i="48"/>
  <c r="F46" i="48"/>
  <c r="F43" i="48"/>
  <c r="F31" i="48"/>
  <c r="F27" i="48"/>
  <c r="D17" i="48"/>
  <c r="F17" i="48" s="1"/>
  <c r="X62" i="48"/>
  <c r="Z62" i="48" s="1"/>
  <c r="P61" i="48"/>
  <c r="R36" i="49"/>
  <c r="R33" i="49"/>
  <c r="R29" i="49"/>
  <c r="R25" i="49"/>
  <c r="P18" i="49"/>
  <c r="R15" i="49"/>
  <c r="R22" i="49"/>
  <c r="X12" i="49"/>
  <c r="R20" i="49"/>
  <c r="R16" i="49"/>
  <c r="R24" i="49"/>
  <c r="R21" i="49"/>
  <c r="R18" i="49"/>
  <c r="R27" i="49"/>
  <c r="N33" i="50"/>
  <c r="L33" i="50"/>
  <c r="Z18" i="51"/>
  <c r="X12" i="37"/>
  <c r="F27" i="37"/>
  <c r="V27" i="37"/>
  <c r="F31" i="37"/>
  <c r="V31" i="37"/>
  <c r="R16" i="38"/>
  <c r="J16" i="41"/>
  <c r="J98" i="42"/>
  <c r="J94" i="42"/>
  <c r="J88" i="42"/>
  <c r="J82" i="42"/>
  <c r="J74" i="42"/>
  <c r="J70" i="42"/>
  <c r="J66" i="42"/>
  <c r="J58" i="42"/>
  <c r="J101" i="42"/>
  <c r="J93" i="42"/>
  <c r="J81" i="42"/>
  <c r="J77" i="42"/>
  <c r="J73" i="42"/>
  <c r="J63" i="42"/>
  <c r="J55" i="42"/>
  <c r="J49" i="42"/>
  <c r="J96" i="42"/>
  <c r="J90" i="42"/>
  <c r="J80" i="42"/>
  <c r="J72" i="42"/>
  <c r="J60" i="42"/>
  <c r="J52" i="42"/>
  <c r="J46" i="42"/>
  <c r="J40" i="42"/>
  <c r="J28" i="42"/>
  <c r="J105" i="42"/>
  <c r="J99" i="42"/>
  <c r="J87" i="42"/>
  <c r="J79" i="42"/>
  <c r="J69" i="42"/>
  <c r="J65" i="42"/>
  <c r="J57" i="42"/>
  <c r="J43" i="42"/>
  <c r="J39" i="42"/>
  <c r="J27" i="42"/>
  <c r="J23" i="42"/>
  <c r="J95" i="42"/>
  <c r="J89" i="42"/>
  <c r="J85" i="42"/>
  <c r="J71" i="42"/>
  <c r="J59" i="42"/>
  <c r="J100" i="42"/>
  <c r="J84" i="42"/>
  <c r="J78" i="42"/>
  <c r="J68" i="42"/>
  <c r="J64" i="42"/>
  <c r="J56" i="42"/>
  <c r="J42" i="42"/>
  <c r="J36" i="42"/>
  <c r="J32" i="42"/>
  <c r="J26" i="42"/>
  <c r="J91" i="42"/>
  <c r="J83" i="42"/>
  <c r="J75" i="42"/>
  <c r="J67" i="42"/>
  <c r="J61" i="42"/>
  <c r="J53" i="42"/>
  <c r="J47" i="42"/>
  <c r="J31" i="42"/>
  <c r="F21" i="42"/>
  <c r="J25" i="42"/>
  <c r="J45" i="42"/>
  <c r="Z90" i="42"/>
  <c r="X101" i="42"/>
  <c r="Z101" i="42" s="1"/>
  <c r="L17" i="45"/>
  <c r="N17" i="45" s="1"/>
  <c r="Z33" i="46"/>
  <c r="X33" i="46"/>
  <c r="N39" i="48"/>
  <c r="Z53" i="48"/>
  <c r="Z56" i="48"/>
  <c r="R34" i="49"/>
  <c r="T12" i="51"/>
  <c r="N12" i="43"/>
  <c r="F18" i="43"/>
  <c r="V18" i="43"/>
  <c r="J22" i="43"/>
  <c r="R24" i="43"/>
  <c r="L12" i="44"/>
  <c r="F15" i="44"/>
  <c r="D18" i="44"/>
  <c r="R21" i="44"/>
  <c r="F25" i="44"/>
  <c r="F29" i="44"/>
  <c r="F33" i="44"/>
  <c r="F36" i="44"/>
  <c r="Z15" i="45"/>
  <c r="L24" i="45"/>
  <c r="X42" i="45"/>
  <c r="Z42" i="45" s="1"/>
  <c r="L44" i="45"/>
  <c r="N44" i="45" s="1"/>
  <c r="X50" i="45"/>
  <c r="Z50" i="45" s="1"/>
  <c r="L52" i="45"/>
  <c r="X58" i="45"/>
  <c r="L60" i="45"/>
  <c r="N60" i="45" s="1"/>
  <c r="X82" i="45"/>
  <c r="Z82" i="45" s="1"/>
  <c r="L84" i="45"/>
  <c r="X12" i="46"/>
  <c r="X24" i="46"/>
  <c r="F27" i="46"/>
  <c r="V27" i="46"/>
  <c r="F31" i="46"/>
  <c r="V31" i="46"/>
  <c r="F34" i="46"/>
  <c r="V34" i="46"/>
  <c r="L15" i="47"/>
  <c r="J18" i="47"/>
  <c r="X21" i="47"/>
  <c r="V24" i="47"/>
  <c r="L25" i="47"/>
  <c r="L29" i="47"/>
  <c r="L33" i="47"/>
  <c r="L15" i="48"/>
  <c r="D61" i="48"/>
  <c r="L61" i="48" s="1"/>
  <c r="N61" i="48" s="1"/>
  <c r="T61" i="48"/>
  <c r="V61" i="48" s="1"/>
  <c r="J16" i="49"/>
  <c r="J20" i="49"/>
  <c r="V22" i="49"/>
  <c r="L34" i="49"/>
  <c r="X16" i="50"/>
  <c r="P18" i="50"/>
  <c r="X20" i="50"/>
  <c r="L24" i="50"/>
  <c r="R25" i="50"/>
  <c r="J27" i="50"/>
  <c r="R29" i="50"/>
  <c r="J31" i="50"/>
  <c r="R33" i="50"/>
  <c r="J34" i="50"/>
  <c r="R36" i="50"/>
  <c r="Z13" i="51"/>
  <c r="L22" i="51"/>
  <c r="N22" i="51" s="1"/>
  <c r="L26" i="51"/>
  <c r="L30" i="51"/>
  <c r="N30" i="51" s="1"/>
  <c r="L33" i="51"/>
  <c r="L69" i="51"/>
  <c r="N86" i="51"/>
  <c r="X91" i="51"/>
  <c r="Z91" i="51" s="1"/>
  <c r="H31" i="53"/>
  <c r="N27" i="53"/>
  <c r="Z100" i="42"/>
  <c r="J15" i="43"/>
  <c r="H18" i="43"/>
  <c r="V21" i="43"/>
  <c r="J25" i="43"/>
  <c r="R27" i="43"/>
  <c r="J29" i="43"/>
  <c r="R31" i="43"/>
  <c r="J33" i="43"/>
  <c r="R34" i="43"/>
  <c r="J36" i="43"/>
  <c r="N12" i="44"/>
  <c r="F18" i="44"/>
  <c r="J22" i="44"/>
  <c r="R24" i="44"/>
  <c r="L13" i="45"/>
  <c r="N13" i="45" s="1"/>
  <c r="F16" i="46"/>
  <c r="F20" i="46"/>
  <c r="R22" i="46"/>
  <c r="V27" i="47"/>
  <c r="V31" i="47"/>
  <c r="V34" i="47"/>
  <c r="J16" i="50"/>
  <c r="J20" i="50"/>
  <c r="V22" i="50"/>
  <c r="H12" i="51"/>
  <c r="L53" i="51"/>
  <c r="Z71" i="51"/>
  <c r="Z19" i="55"/>
  <c r="L18" i="56"/>
  <c r="V24" i="43"/>
  <c r="J25" i="44"/>
  <c r="R27" i="44"/>
  <c r="J29" i="44"/>
  <c r="R31" i="44"/>
  <c r="J33" i="44"/>
  <c r="R34" i="44"/>
  <c r="J36" i="44"/>
  <c r="R36" i="46"/>
  <c r="N21" i="51"/>
  <c r="N29" i="51"/>
  <c r="X35" i="51"/>
  <c r="Z35" i="51" s="1"/>
  <c r="N53" i="51"/>
  <c r="N18" i="56"/>
  <c r="N91" i="51"/>
  <c r="L76" i="42"/>
  <c r="N76" i="42" s="1"/>
  <c r="X90" i="42"/>
  <c r="L92" i="42"/>
  <c r="Z12" i="43"/>
  <c r="V16" i="43"/>
  <c r="V20" i="43"/>
  <c r="L21" i="43"/>
  <c r="J24" i="43"/>
  <c r="X34" i="43"/>
  <c r="X12" i="44"/>
  <c r="J21" i="44"/>
  <c r="X24" i="44"/>
  <c r="F27" i="44"/>
  <c r="F31" i="44"/>
  <c r="F34" i="44"/>
  <c r="N15" i="45"/>
  <c r="L12" i="46"/>
  <c r="F15" i="46"/>
  <c r="V15" i="46"/>
  <c r="D18" i="46"/>
  <c r="T18" i="46"/>
  <c r="R21" i="46"/>
  <c r="F25" i="46"/>
  <c r="V25" i="46"/>
  <c r="F29" i="46"/>
  <c r="V29" i="46"/>
  <c r="F33" i="46"/>
  <c r="V33" i="46"/>
  <c r="F36" i="46"/>
  <c r="V36" i="46"/>
  <c r="J16" i="47"/>
  <c r="R18" i="47"/>
  <c r="J20" i="47"/>
  <c r="V22" i="47"/>
  <c r="H12" i="48"/>
  <c r="J18" i="49"/>
  <c r="J15" i="50"/>
  <c r="H18" i="50"/>
  <c r="L18" i="50" s="1"/>
  <c r="F21" i="50"/>
  <c r="V21" i="50"/>
  <c r="J25" i="50"/>
  <c r="R27" i="50"/>
  <c r="J29" i="50"/>
  <c r="R31" i="50"/>
  <c r="J33" i="50"/>
  <c r="R34" i="50"/>
  <c r="J36" i="50"/>
  <c r="P12" i="51"/>
  <c r="D26" i="54"/>
  <c r="P30" i="55"/>
  <c r="P18" i="43"/>
  <c r="R25" i="43"/>
  <c r="J27" i="43"/>
  <c r="R29" i="43"/>
  <c r="J31" i="43"/>
  <c r="R33" i="43"/>
  <c r="J34" i="43"/>
  <c r="F16" i="44"/>
  <c r="N18" i="44"/>
  <c r="F20" i="44"/>
  <c r="R22" i="44"/>
  <c r="J24" i="44"/>
  <c r="F18" i="46"/>
  <c r="R24" i="46"/>
  <c r="J18" i="50"/>
  <c r="V24" i="50"/>
  <c r="D27" i="50"/>
  <c r="Z21" i="51"/>
  <c r="Z29" i="51"/>
  <c r="Z80" i="51"/>
  <c r="H22" i="54"/>
  <c r="N16" i="54"/>
  <c r="J16" i="43"/>
  <c r="V22" i="43"/>
  <c r="R15" i="44"/>
  <c r="P18" i="44"/>
  <c r="R25" i="44"/>
  <c r="J27" i="44"/>
  <c r="R29" i="44"/>
  <c r="J31" i="44"/>
  <c r="R33" i="44"/>
  <c r="J34" i="44"/>
  <c r="R36" i="44"/>
  <c r="F21" i="46"/>
  <c r="R27" i="46"/>
  <c r="R31" i="46"/>
  <c r="R34" i="46"/>
  <c r="D27" i="52"/>
  <c r="T26" i="54"/>
  <c r="Z22" i="54"/>
  <c r="V15" i="43"/>
  <c r="T18" i="43"/>
  <c r="V25" i="43"/>
  <c r="V29" i="43"/>
  <c r="V33" i="43"/>
  <c r="J16" i="44"/>
  <c r="R16" i="46"/>
  <c r="J15" i="47"/>
  <c r="H18" i="47"/>
  <c r="J25" i="47"/>
  <c r="R27" i="47"/>
  <c r="J29" i="47"/>
  <c r="R31" i="47"/>
  <c r="J33" i="47"/>
  <c r="J27" i="49"/>
  <c r="J31" i="49"/>
  <c r="Z12" i="50"/>
  <c r="F16" i="50"/>
  <c r="V16" i="50"/>
  <c r="N12" i="52"/>
  <c r="V18" i="52"/>
  <c r="J22" i="52"/>
  <c r="R24" i="52"/>
  <c r="L12" i="53"/>
  <c r="F15" i="53"/>
  <c r="V15" i="53"/>
  <c r="D18" i="53"/>
  <c r="T18" i="53"/>
  <c r="R21" i="53"/>
  <c r="F25" i="53"/>
  <c r="V25" i="53"/>
  <c r="F29" i="53"/>
  <c r="V29" i="53"/>
  <c r="F33" i="53"/>
  <c r="V33" i="53"/>
  <c r="F36" i="53"/>
  <c r="V36" i="53"/>
  <c r="N12" i="55"/>
  <c r="J14" i="55"/>
  <c r="X19" i="55"/>
  <c r="V20" i="55"/>
  <c r="L21" i="55"/>
  <c r="N21" i="55" s="1"/>
  <c r="J24" i="55"/>
  <c r="J28" i="55"/>
  <c r="J34" i="55"/>
  <c r="J58" i="56"/>
  <c r="J42" i="56"/>
  <c r="J34" i="56"/>
  <c r="J57" i="56"/>
  <c r="J51" i="56"/>
  <c r="J70" i="56"/>
  <c r="J64" i="56"/>
  <c r="J60" i="56"/>
  <c r="J54" i="56"/>
  <c r="J44" i="56"/>
  <c r="J41" i="56"/>
  <c r="J33" i="56"/>
  <c r="J68" i="56"/>
  <c r="J62" i="56"/>
  <c r="J56" i="56"/>
  <c r="J50" i="56"/>
  <c r="J46" i="56"/>
  <c r="J38" i="56"/>
  <c r="J73" i="56"/>
  <c r="J66" i="56"/>
  <c r="J52" i="56"/>
  <c r="J48" i="56"/>
  <c r="J40" i="56"/>
  <c r="J32" i="56"/>
  <c r="J61" i="56"/>
  <c r="J55" i="56"/>
  <c r="J45" i="56"/>
  <c r="J37" i="56"/>
  <c r="J31" i="56"/>
  <c r="J22" i="56"/>
  <c r="F23" i="56"/>
  <c r="V26" i="56"/>
  <c r="R27" i="56"/>
  <c r="J28" i="56"/>
  <c r="R34" i="56"/>
  <c r="R42" i="56"/>
  <c r="R43" i="56"/>
  <c r="F46" i="56"/>
  <c r="J47" i="56"/>
  <c r="T65" i="57"/>
  <c r="Z18" i="57"/>
  <c r="Z19" i="57"/>
  <c r="N18" i="58"/>
  <c r="Z19" i="58"/>
  <c r="X19" i="58"/>
  <c r="J40" i="58"/>
  <c r="Z42" i="58"/>
  <c r="N44" i="58"/>
  <c r="J60" i="58"/>
  <c r="L18" i="59"/>
  <c r="N18" i="59" s="1"/>
  <c r="F22" i="59"/>
  <c r="F29" i="59"/>
  <c r="T46" i="60"/>
  <c r="Z16" i="60"/>
  <c r="L32" i="60"/>
  <c r="N32" i="60" s="1"/>
  <c r="F77" i="62"/>
  <c r="N88" i="62"/>
  <c r="F94" i="62"/>
  <c r="T12" i="64"/>
  <c r="Z93" i="51"/>
  <c r="J15" i="52"/>
  <c r="H18" i="52"/>
  <c r="F21" i="52"/>
  <c r="V21" i="52"/>
  <c r="J25" i="52"/>
  <c r="R27" i="52"/>
  <c r="J29" i="52"/>
  <c r="R31" i="52"/>
  <c r="J33" i="52"/>
  <c r="R34" i="52"/>
  <c r="J36" i="52"/>
  <c r="N12" i="53"/>
  <c r="F18" i="53"/>
  <c r="V18" i="53"/>
  <c r="J22" i="53"/>
  <c r="R24" i="53"/>
  <c r="L12" i="54"/>
  <c r="P16" i="54"/>
  <c r="T16" i="55"/>
  <c r="X16" i="55" s="1"/>
  <c r="J19" i="55"/>
  <c r="F22" i="55"/>
  <c r="R23" i="55"/>
  <c r="F25" i="55"/>
  <c r="V25" i="55"/>
  <c r="R26" i="55"/>
  <c r="D30" i="55"/>
  <c r="R32" i="55"/>
  <c r="L12" i="56"/>
  <c r="P16" i="56"/>
  <c r="F18" i="56"/>
  <c r="R18" i="56"/>
  <c r="F19" i="56"/>
  <c r="V19" i="56"/>
  <c r="R20" i="56"/>
  <c r="J23" i="56"/>
  <c r="F24" i="56"/>
  <c r="V27" i="56"/>
  <c r="F30" i="56"/>
  <c r="R35" i="56"/>
  <c r="F38" i="56"/>
  <c r="J39" i="56"/>
  <c r="F45" i="56"/>
  <c r="R58" i="56"/>
  <c r="Z32" i="57"/>
  <c r="N34" i="57"/>
  <c r="L34" i="57"/>
  <c r="Z36" i="57"/>
  <c r="X18" i="58"/>
  <c r="Z55" i="58"/>
  <c r="X46" i="59"/>
  <c r="Z46" i="59" s="1"/>
  <c r="L18" i="60"/>
  <c r="N28" i="60"/>
  <c r="P16" i="61"/>
  <c r="X14" i="61"/>
  <c r="N18" i="61"/>
  <c r="N28" i="61"/>
  <c r="F49" i="62"/>
  <c r="N62" i="62"/>
  <c r="Z66" i="62"/>
  <c r="N68" i="62"/>
  <c r="J33" i="63"/>
  <c r="H16" i="63"/>
  <c r="J30" i="63"/>
  <c r="J24" i="63"/>
  <c r="J18" i="63"/>
  <c r="J27" i="63"/>
  <c r="J19" i="63"/>
  <c r="J42" i="63"/>
  <c r="J36" i="63"/>
  <c r="J32" i="63"/>
  <c r="J14" i="63"/>
  <c r="N12" i="63"/>
  <c r="J29" i="63"/>
  <c r="J23" i="63"/>
  <c r="J31" i="63"/>
  <c r="J25" i="63"/>
  <c r="J21" i="63"/>
  <c r="J45" i="63"/>
  <c r="J38" i="63"/>
  <c r="J28" i="63"/>
  <c r="J20" i="63"/>
  <c r="J16" i="63"/>
  <c r="J34" i="63"/>
  <c r="J40" i="63"/>
  <c r="P12" i="64"/>
  <c r="L93" i="51"/>
  <c r="L15" i="52"/>
  <c r="J18" i="52"/>
  <c r="V24" i="52"/>
  <c r="F21" i="53"/>
  <c r="V21" i="53"/>
  <c r="J25" i="53"/>
  <c r="R27" i="53"/>
  <c r="J29" i="53"/>
  <c r="R31" i="53"/>
  <c r="J33" i="53"/>
  <c r="R34" i="53"/>
  <c r="J36" i="53"/>
  <c r="R16" i="54"/>
  <c r="R20" i="54"/>
  <c r="R26" i="54"/>
  <c r="R29" i="54"/>
  <c r="V16" i="55"/>
  <c r="J18" i="55"/>
  <c r="V18" i="55"/>
  <c r="J22" i="55"/>
  <c r="V26" i="55"/>
  <c r="V30" i="55"/>
  <c r="V32" i="55"/>
  <c r="V37" i="55"/>
  <c r="R16" i="56"/>
  <c r="R21" i="56"/>
  <c r="J30" i="56"/>
  <c r="P16" i="57"/>
  <c r="X14" i="57"/>
  <c r="Z18" i="58"/>
  <c r="F42" i="59"/>
  <c r="J21" i="52"/>
  <c r="V27" i="52"/>
  <c r="V31" i="52"/>
  <c r="V34" i="52"/>
  <c r="R20" i="53"/>
  <c r="F24" i="53"/>
  <c r="V24" i="53"/>
  <c r="H16" i="55"/>
  <c r="J25" i="55"/>
  <c r="R56" i="56"/>
  <c r="R68" i="56"/>
  <c r="R62" i="56"/>
  <c r="R59" i="56"/>
  <c r="R73" i="56"/>
  <c r="R66" i="56"/>
  <c r="R53" i="56"/>
  <c r="R49" i="56"/>
  <c r="R61" i="56"/>
  <c r="R52" i="56"/>
  <c r="R48" i="56"/>
  <c r="R45" i="56"/>
  <c r="R40" i="56"/>
  <c r="R37" i="56"/>
  <c r="R32" i="56"/>
  <c r="R55" i="56"/>
  <c r="R31" i="56"/>
  <c r="R70" i="56"/>
  <c r="R64" i="56"/>
  <c r="R57" i="56"/>
  <c r="R54" i="56"/>
  <c r="R60" i="56"/>
  <c r="R44" i="56"/>
  <c r="R41" i="56"/>
  <c r="R36" i="56"/>
  <c r="R33" i="56"/>
  <c r="D66" i="56"/>
  <c r="J19" i="56"/>
  <c r="R22" i="56"/>
  <c r="J25" i="56"/>
  <c r="J29" i="56"/>
  <c r="R39" i="56"/>
  <c r="Z41" i="56"/>
  <c r="R46" i="56"/>
  <c r="J49" i="56"/>
  <c r="Z61" i="56"/>
  <c r="D69" i="58"/>
  <c r="N18" i="60"/>
  <c r="Z28" i="60"/>
  <c r="Z28" i="61"/>
  <c r="X28" i="61"/>
  <c r="F101" i="62"/>
  <c r="F90" i="62"/>
  <c r="F87" i="62"/>
  <c r="F83" i="62"/>
  <c r="F75" i="62"/>
  <c r="F71" i="62"/>
  <c r="F67" i="62"/>
  <c r="F62" i="62"/>
  <c r="F59" i="62"/>
  <c r="F54" i="62"/>
  <c r="F51" i="62"/>
  <c r="F47" i="62"/>
  <c r="F27" i="62"/>
  <c r="D17" i="62"/>
  <c r="F15" i="62"/>
  <c r="F93" i="62"/>
  <c r="F82" i="62"/>
  <c r="F78" i="62"/>
  <c r="F74" i="62"/>
  <c r="F70" i="62"/>
  <c r="F50" i="62"/>
  <c r="F41" i="62"/>
  <c r="F38" i="62"/>
  <c r="F26" i="62"/>
  <c r="F89" i="62"/>
  <c r="F81" i="62"/>
  <c r="F69" i="62"/>
  <c r="F64" i="62"/>
  <c r="F61" i="62"/>
  <c r="F56" i="62"/>
  <c r="F53" i="62"/>
  <c r="F44" i="62"/>
  <c r="F37" i="62"/>
  <c r="F25" i="62"/>
  <c r="F20" i="62"/>
  <c r="F19" i="62"/>
  <c r="F106" i="62"/>
  <c r="F99" i="62"/>
  <c r="F92" i="62"/>
  <c r="F80" i="62"/>
  <c r="F40" i="62"/>
  <c r="F36" i="62"/>
  <c r="F31" i="62"/>
  <c r="F24" i="62"/>
  <c r="L12" i="62"/>
  <c r="F96" i="62"/>
  <c r="F91" i="62"/>
  <c r="F86" i="62"/>
  <c r="F66" i="62"/>
  <c r="F63" i="62"/>
  <c r="F58" i="62"/>
  <c r="F55" i="62"/>
  <c r="F46" i="62"/>
  <c r="F43" i="62"/>
  <c r="F35" i="62"/>
  <c r="F23" i="62"/>
  <c r="F14" i="62"/>
  <c r="F88" i="62"/>
  <c r="F85" i="62"/>
  <c r="F68" i="62"/>
  <c r="F65" i="62"/>
  <c r="F60" i="62"/>
  <c r="F57" i="62"/>
  <c r="F52" i="62"/>
  <c r="F45" i="62"/>
  <c r="F33" i="62"/>
  <c r="F29" i="62"/>
  <c r="F21" i="62"/>
  <c r="F103" i="62"/>
  <c r="F97" i="62"/>
  <c r="F84" i="62"/>
  <c r="F79" i="62"/>
  <c r="F76" i="62"/>
  <c r="F72" i="62"/>
  <c r="F48" i="62"/>
  <c r="F39" i="62"/>
  <c r="F32" i="62"/>
  <c r="F28" i="62"/>
  <c r="F17" i="62"/>
  <c r="Z20" i="62"/>
  <c r="X71" i="51"/>
  <c r="L73" i="51"/>
  <c r="Z12" i="52"/>
  <c r="V16" i="52"/>
  <c r="V20" i="52"/>
  <c r="L21" i="52"/>
  <c r="J24" i="52"/>
  <c r="X34" i="52"/>
  <c r="X12" i="53"/>
  <c r="J21" i="53"/>
  <c r="F27" i="53"/>
  <c r="V27" i="53"/>
  <c r="F31" i="53"/>
  <c r="V31" i="53"/>
  <c r="F34" i="53"/>
  <c r="V34" i="53"/>
  <c r="F16" i="54"/>
  <c r="V16" i="54"/>
  <c r="F20" i="54"/>
  <c r="V20" i="54"/>
  <c r="J24" i="54"/>
  <c r="F26" i="54"/>
  <c r="V26" i="54"/>
  <c r="Z12" i="55"/>
  <c r="J16" i="55"/>
  <c r="J20" i="55"/>
  <c r="V24" i="55"/>
  <c r="R28" i="55"/>
  <c r="J30" i="55"/>
  <c r="R34" i="55"/>
  <c r="J37" i="55"/>
  <c r="V73" i="56"/>
  <c r="V68" i="56"/>
  <c r="V66" i="56"/>
  <c r="V62" i="56"/>
  <c r="V50" i="56"/>
  <c r="V46" i="56"/>
  <c r="V38" i="56"/>
  <c r="V61" i="56"/>
  <c r="V53" i="56"/>
  <c r="V52" i="56"/>
  <c r="V48" i="56"/>
  <c r="V40" i="56"/>
  <c r="V55" i="56"/>
  <c r="V51" i="56"/>
  <c r="V47" i="56"/>
  <c r="V39" i="56"/>
  <c r="V31" i="56"/>
  <c r="V70" i="56"/>
  <c r="V64" i="56"/>
  <c r="V58" i="56"/>
  <c r="V54" i="56"/>
  <c r="V42" i="56"/>
  <c r="V34" i="56"/>
  <c r="V60" i="56"/>
  <c r="V56" i="56"/>
  <c r="V44" i="56"/>
  <c r="V36" i="56"/>
  <c r="V59" i="56"/>
  <c r="V43" i="56"/>
  <c r="V35" i="56"/>
  <c r="F16" i="56"/>
  <c r="V16" i="56"/>
  <c r="J18" i="56"/>
  <c r="V18" i="56"/>
  <c r="V22" i="56"/>
  <c r="R23" i="56"/>
  <c r="J26" i="56"/>
  <c r="F27" i="56"/>
  <c r="R28" i="56"/>
  <c r="R38" i="56"/>
  <c r="V41" i="56"/>
  <c r="R51" i="56"/>
  <c r="J53" i="56"/>
  <c r="V57" i="56"/>
  <c r="T70" i="56"/>
  <c r="N18" i="57"/>
  <c r="F38" i="59"/>
  <c r="N44" i="59"/>
  <c r="F49" i="59"/>
  <c r="X18" i="60"/>
  <c r="H46" i="61"/>
  <c r="N16" i="61"/>
  <c r="Z14" i="62"/>
  <c r="X14" i="62"/>
  <c r="F22" i="62"/>
  <c r="N46" i="62"/>
  <c r="Z58" i="62"/>
  <c r="N96" i="62"/>
  <c r="X80" i="51"/>
  <c r="L82" i="51"/>
  <c r="N82" i="51" s="1"/>
  <c r="L86" i="51"/>
  <c r="R15" i="52"/>
  <c r="P18" i="52"/>
  <c r="R25" i="52"/>
  <c r="J27" i="52"/>
  <c r="R29" i="52"/>
  <c r="J31" i="52"/>
  <c r="R33" i="52"/>
  <c r="J34" i="52"/>
  <c r="Z12" i="53"/>
  <c r="F16" i="53"/>
  <c r="V16" i="53"/>
  <c r="N18" i="53"/>
  <c r="F20" i="53"/>
  <c r="V20" i="53"/>
  <c r="R22" i="53"/>
  <c r="J24" i="53"/>
  <c r="X12" i="54"/>
  <c r="R19" i="55"/>
  <c r="F21" i="55"/>
  <c r="V21" i="55"/>
  <c r="R22" i="55"/>
  <c r="J23" i="55"/>
  <c r="F26" i="55"/>
  <c r="X12" i="56"/>
  <c r="H16" i="56"/>
  <c r="F20" i="56"/>
  <c r="V23" i="56"/>
  <c r="R24" i="56"/>
  <c r="J27" i="56"/>
  <c r="R29" i="56"/>
  <c r="R30" i="56"/>
  <c r="F33" i="56"/>
  <c r="F34" i="56"/>
  <c r="J36" i="56"/>
  <c r="X37" i="56"/>
  <c r="R50" i="56"/>
  <c r="Z54" i="56"/>
  <c r="N56" i="56"/>
  <c r="Z28" i="57"/>
  <c r="L49" i="58"/>
  <c r="N49" i="58" s="1"/>
  <c r="Z62" i="58"/>
  <c r="T16" i="59"/>
  <c r="Z14" i="59"/>
  <c r="X14" i="59"/>
  <c r="Z18" i="59"/>
  <c r="R39" i="60"/>
  <c r="R35" i="60"/>
  <c r="R32" i="60"/>
  <c r="R27" i="60"/>
  <c r="R48" i="60"/>
  <c r="R42" i="60"/>
  <c r="R38" i="60"/>
  <c r="R26" i="60"/>
  <c r="R19" i="60"/>
  <c r="R53" i="60"/>
  <c r="R46" i="60"/>
  <c r="R34" i="60"/>
  <c r="R29" i="60"/>
  <c r="R25" i="60"/>
  <c r="R14" i="60"/>
  <c r="R41" i="60"/>
  <c r="R37" i="60"/>
  <c r="R24" i="60"/>
  <c r="X12" i="60"/>
  <c r="R31" i="60"/>
  <c r="R28" i="60"/>
  <c r="R23" i="60"/>
  <c r="R50" i="60"/>
  <c r="R44" i="60"/>
  <c r="R33" i="60"/>
  <c r="R30" i="60"/>
  <c r="R21" i="60"/>
  <c r="R16" i="60"/>
  <c r="R40" i="60"/>
  <c r="R36" i="60"/>
  <c r="R20" i="60"/>
  <c r="R18" i="60"/>
  <c r="P16" i="60"/>
  <c r="N34" i="60"/>
  <c r="Z44" i="60"/>
  <c r="X44" i="60"/>
  <c r="N44" i="61"/>
  <c r="L44" i="61"/>
  <c r="X46" i="62"/>
  <c r="L52" i="62"/>
  <c r="X96" i="62"/>
  <c r="Z96" i="62" s="1"/>
  <c r="Z19" i="63"/>
  <c r="J26" i="63"/>
  <c r="L18" i="64"/>
  <c r="J16" i="52"/>
  <c r="J20" i="52"/>
  <c r="R25" i="53"/>
  <c r="R29" i="53"/>
  <c r="J31" i="53"/>
  <c r="R33" i="53"/>
  <c r="J34" i="53"/>
  <c r="R36" i="53"/>
  <c r="R14" i="54"/>
  <c r="Z16" i="54"/>
  <c r="R18" i="54"/>
  <c r="R22" i="54"/>
  <c r="R28" i="54"/>
  <c r="R31" i="54"/>
  <c r="V22" i="55"/>
  <c r="J26" i="55"/>
  <c r="V28" i="55"/>
  <c r="J32" i="55"/>
  <c r="V34" i="55"/>
  <c r="R14" i="56"/>
  <c r="Z16" i="56"/>
  <c r="R25" i="56"/>
  <c r="Z37" i="56"/>
  <c r="J43" i="56"/>
  <c r="F47" i="59"/>
  <c r="F31" i="59"/>
  <c r="F27" i="59"/>
  <c r="F16" i="59"/>
  <c r="F50" i="59"/>
  <c r="F37" i="59"/>
  <c r="F34" i="59"/>
  <c r="F30" i="59"/>
  <c r="F26" i="59"/>
  <c r="D16" i="59"/>
  <c r="F60" i="59"/>
  <c r="F54" i="59"/>
  <c r="F44" i="59"/>
  <c r="F25" i="59"/>
  <c r="F58" i="59"/>
  <c r="F52" i="59"/>
  <c r="F39" i="59"/>
  <c r="F36" i="59"/>
  <c r="F24" i="59"/>
  <c r="F19" i="59"/>
  <c r="F18" i="59"/>
  <c r="L12" i="59"/>
  <c r="F46" i="59"/>
  <c r="F43" i="59"/>
  <c r="F23" i="59"/>
  <c r="F14" i="59"/>
  <c r="F63" i="59"/>
  <c r="F56" i="59"/>
  <c r="F45" i="59"/>
  <c r="F41" i="59"/>
  <c r="F21" i="59"/>
  <c r="F51" i="59"/>
  <c r="F48" i="59"/>
  <c r="F40" i="59"/>
  <c r="F35" i="59"/>
  <c r="F32" i="59"/>
  <c r="F28" i="59"/>
  <c r="F20" i="59"/>
  <c r="D46" i="60"/>
  <c r="L16" i="60"/>
  <c r="Z18" i="60"/>
  <c r="Z46" i="62"/>
  <c r="D42" i="63"/>
  <c r="Z27" i="63"/>
  <c r="X27" i="63"/>
  <c r="N29" i="63"/>
  <c r="L29" i="63"/>
  <c r="F77" i="64"/>
  <c r="F66" i="64"/>
  <c r="F54" i="64"/>
  <c r="F72" i="64"/>
  <c r="F69" i="64"/>
  <c r="F65" i="64"/>
  <c r="F60" i="64"/>
  <c r="F57" i="64"/>
  <c r="F79" i="64"/>
  <c r="F76" i="64"/>
  <c r="F68" i="64"/>
  <c r="F56" i="64"/>
  <c r="F51" i="64"/>
  <c r="F75" i="64"/>
  <c r="F71" i="64"/>
  <c r="F62" i="64"/>
  <c r="F59" i="64"/>
  <c r="F46" i="64"/>
  <c r="F42" i="64"/>
  <c r="F41" i="64"/>
  <c r="F78" i="64"/>
  <c r="F74" i="64"/>
  <c r="F53" i="64"/>
  <c r="F50" i="64"/>
  <c r="F86" i="64"/>
  <c r="F80" i="64"/>
  <c r="F67" i="64"/>
  <c r="F55" i="64"/>
  <c r="F52" i="64"/>
  <c r="F48" i="64"/>
  <c r="F44" i="64"/>
  <c r="F70" i="64"/>
  <c r="F63" i="64"/>
  <c r="F58" i="64"/>
  <c r="F47" i="64"/>
  <c r="F43" i="64"/>
  <c r="F30" i="64"/>
  <c r="F45" i="64"/>
  <c r="F37" i="64"/>
  <c r="F29" i="64"/>
  <c r="F82" i="64"/>
  <c r="F36" i="64"/>
  <c r="F28" i="64"/>
  <c r="L12" i="64"/>
  <c r="F49" i="64"/>
  <c r="D39" i="64"/>
  <c r="F35" i="64"/>
  <c r="F73" i="64"/>
  <c r="F64" i="64"/>
  <c r="F34" i="64"/>
  <c r="F32" i="64"/>
  <c r="F27" i="64"/>
  <c r="F61" i="64"/>
  <c r="F31" i="64"/>
  <c r="J79" i="64"/>
  <c r="J69" i="64"/>
  <c r="J65" i="64"/>
  <c r="J57" i="64"/>
  <c r="J51" i="64"/>
  <c r="J41" i="64"/>
  <c r="J37" i="64"/>
  <c r="J76" i="64"/>
  <c r="J68" i="64"/>
  <c r="J62" i="64"/>
  <c r="J56" i="64"/>
  <c r="J46" i="64"/>
  <c r="J75" i="64"/>
  <c r="J71" i="64"/>
  <c r="J59" i="64"/>
  <c r="J53" i="64"/>
  <c r="J88" i="64"/>
  <c r="J82" i="64"/>
  <c r="J78" i="64"/>
  <c r="J74" i="64"/>
  <c r="J64" i="64"/>
  <c r="J50" i="64"/>
  <c r="J73" i="64"/>
  <c r="J67" i="64"/>
  <c r="J61" i="64"/>
  <c r="J55" i="64"/>
  <c r="J49" i="64"/>
  <c r="J45" i="64"/>
  <c r="J77" i="64"/>
  <c r="J63" i="64"/>
  <c r="J47" i="64"/>
  <c r="J43" i="64"/>
  <c r="J91" i="64"/>
  <c r="J84" i="64"/>
  <c r="J72" i="64"/>
  <c r="J66" i="64"/>
  <c r="J60" i="64"/>
  <c r="J54" i="64"/>
  <c r="J58" i="64"/>
  <c r="J29" i="64"/>
  <c r="J48" i="64"/>
  <c r="J39" i="64"/>
  <c r="J36" i="64"/>
  <c r="J28" i="64"/>
  <c r="N12" i="64"/>
  <c r="J86" i="64"/>
  <c r="J42" i="64"/>
  <c r="H39" i="64"/>
  <c r="J35" i="64"/>
  <c r="J34" i="64"/>
  <c r="J52" i="64"/>
  <c r="J33" i="64"/>
  <c r="J27" i="64"/>
  <c r="J70" i="64"/>
  <c r="J31" i="64"/>
  <c r="J80" i="64"/>
  <c r="J44" i="64"/>
  <c r="J30" i="64"/>
  <c r="N27" i="64"/>
  <c r="L27" i="64"/>
  <c r="V15" i="52"/>
  <c r="T18" i="52"/>
  <c r="F25" i="52"/>
  <c r="V25" i="52"/>
  <c r="F29" i="52"/>
  <c r="V29" i="52"/>
  <c r="F33" i="52"/>
  <c r="V33" i="52"/>
  <c r="J16" i="53"/>
  <c r="L16" i="54"/>
  <c r="L12" i="55"/>
  <c r="X14" i="55"/>
  <c r="F73" i="56"/>
  <c r="F66" i="56"/>
  <c r="F55" i="56"/>
  <c r="F31" i="56"/>
  <c r="F61" i="56"/>
  <c r="F58" i="56"/>
  <c r="F57" i="56"/>
  <c r="F60" i="56"/>
  <c r="F51" i="56"/>
  <c r="F47" i="56"/>
  <c r="F44" i="56"/>
  <c r="F39" i="56"/>
  <c r="F36" i="56"/>
  <c r="F70" i="56"/>
  <c r="F64" i="56"/>
  <c r="F54" i="56"/>
  <c r="F56" i="56"/>
  <c r="F53" i="56"/>
  <c r="F49" i="56"/>
  <c r="F59" i="56"/>
  <c r="F52" i="56"/>
  <c r="F48" i="56"/>
  <c r="F43" i="56"/>
  <c r="F40" i="56"/>
  <c r="F35" i="56"/>
  <c r="F32" i="56"/>
  <c r="L16" i="56"/>
  <c r="R19" i="56"/>
  <c r="J21" i="56"/>
  <c r="F22" i="56"/>
  <c r="V25" i="56"/>
  <c r="R26" i="56"/>
  <c r="V37" i="56"/>
  <c r="Z56" i="56"/>
  <c r="J59" i="56"/>
  <c r="H61" i="57"/>
  <c r="N16" i="57"/>
  <c r="Z56" i="57"/>
  <c r="J76" i="58"/>
  <c r="J69" i="58"/>
  <c r="J59" i="58"/>
  <c r="J51" i="58"/>
  <c r="J47" i="58"/>
  <c r="J39" i="58"/>
  <c r="J31" i="58"/>
  <c r="J27" i="58"/>
  <c r="H16" i="58"/>
  <c r="L16" i="58" s="1"/>
  <c r="J64" i="58"/>
  <c r="J58" i="58"/>
  <c r="J54" i="58"/>
  <c r="J50" i="58"/>
  <c r="J44" i="58"/>
  <c r="J36" i="58"/>
  <c r="J26" i="58"/>
  <c r="J18" i="58"/>
  <c r="J61" i="58"/>
  <c r="J57" i="58"/>
  <c r="J53" i="58"/>
  <c r="J41" i="58"/>
  <c r="J25" i="58"/>
  <c r="J19" i="58"/>
  <c r="J56" i="58"/>
  <c r="J46" i="58"/>
  <c r="J38" i="58"/>
  <c r="J30" i="58"/>
  <c r="J24" i="58"/>
  <c r="J14" i="58"/>
  <c r="N12" i="58"/>
  <c r="J73" i="58"/>
  <c r="J67" i="58"/>
  <c r="J63" i="58"/>
  <c r="J49" i="58"/>
  <c r="J43" i="58"/>
  <c r="J35" i="58"/>
  <c r="J23" i="58"/>
  <c r="L12" i="58"/>
  <c r="J71" i="58"/>
  <c r="J65" i="58"/>
  <c r="J55" i="58"/>
  <c r="J45" i="58"/>
  <c r="J37" i="58"/>
  <c r="J33" i="58"/>
  <c r="J29" i="58"/>
  <c r="J21" i="58"/>
  <c r="J62" i="58"/>
  <c r="J48" i="58"/>
  <c r="J42" i="58"/>
  <c r="J32" i="58"/>
  <c r="J28" i="58"/>
  <c r="J20" i="58"/>
  <c r="J16" i="58"/>
  <c r="N67" i="58"/>
  <c r="L67" i="58"/>
  <c r="N46" i="59"/>
  <c r="Z30" i="60"/>
  <c r="X30" i="60"/>
  <c r="X18" i="61"/>
  <c r="Z18" i="61" s="1"/>
  <c r="F30" i="62"/>
  <c r="F34" i="62"/>
  <c r="N66" i="62"/>
  <c r="X86" i="62"/>
  <c r="Z86" i="62" s="1"/>
  <c r="L88" i="62"/>
  <c r="Z90" i="62"/>
  <c r="X14" i="64"/>
  <c r="Z14" i="64" s="1"/>
  <c r="J32" i="64"/>
  <c r="N39" i="56"/>
  <c r="Z45" i="56"/>
  <c r="N47" i="56"/>
  <c r="L14" i="57"/>
  <c r="J19" i="57"/>
  <c r="V21" i="57"/>
  <c r="R22" i="57"/>
  <c r="J25" i="57"/>
  <c r="F26" i="57"/>
  <c r="J29" i="57"/>
  <c r="F30" i="57"/>
  <c r="J33" i="57"/>
  <c r="X36" i="57"/>
  <c r="V37" i="57"/>
  <c r="L38" i="57"/>
  <c r="N38" i="57" s="1"/>
  <c r="F42" i="57"/>
  <c r="R43" i="57"/>
  <c r="J45" i="57"/>
  <c r="F46" i="57"/>
  <c r="R47" i="57"/>
  <c r="F49" i="57"/>
  <c r="V49" i="57"/>
  <c r="R50" i="57"/>
  <c r="V53" i="57"/>
  <c r="J57" i="57"/>
  <c r="F59" i="57"/>
  <c r="V59" i="57"/>
  <c r="J63" i="57"/>
  <c r="F65" i="57"/>
  <c r="V65" i="57"/>
  <c r="Z12" i="58"/>
  <c r="R14" i="58"/>
  <c r="F21" i="58"/>
  <c r="V24" i="58"/>
  <c r="R25" i="58"/>
  <c r="F29" i="58"/>
  <c r="R30" i="58"/>
  <c r="F33" i="58"/>
  <c r="F37" i="58"/>
  <c r="R38" i="58"/>
  <c r="F40" i="58"/>
  <c r="V40" i="58"/>
  <c r="R41" i="58"/>
  <c r="F45" i="58"/>
  <c r="R46" i="58"/>
  <c r="F52" i="58"/>
  <c r="V52" i="58"/>
  <c r="R53" i="58"/>
  <c r="V56" i="58"/>
  <c r="R57" i="58"/>
  <c r="F60" i="58"/>
  <c r="V60" i="58"/>
  <c r="R61" i="58"/>
  <c r="F65" i="58"/>
  <c r="F71" i="58"/>
  <c r="X12" i="59"/>
  <c r="H16" i="59"/>
  <c r="V23" i="59"/>
  <c r="R24" i="59"/>
  <c r="J27" i="59"/>
  <c r="R29" i="59"/>
  <c r="J31" i="59"/>
  <c r="R33" i="59"/>
  <c r="V35" i="59"/>
  <c r="R36" i="59"/>
  <c r="J37" i="59"/>
  <c r="V43" i="59"/>
  <c r="J47" i="59"/>
  <c r="R49" i="59"/>
  <c r="V51" i="59"/>
  <c r="R52" i="59"/>
  <c r="R58" i="59"/>
  <c r="L12" i="60"/>
  <c r="F18" i="60"/>
  <c r="F19" i="60"/>
  <c r="J23" i="60"/>
  <c r="F24" i="60"/>
  <c r="V27" i="60"/>
  <c r="J31" i="60"/>
  <c r="V35" i="60"/>
  <c r="J37" i="60"/>
  <c r="V39" i="60"/>
  <c r="J41" i="60"/>
  <c r="H46" i="60"/>
  <c r="D16" i="61"/>
  <c r="T16" i="61"/>
  <c r="J19" i="61"/>
  <c r="R22" i="61"/>
  <c r="J25" i="61"/>
  <c r="F26" i="61"/>
  <c r="J29" i="61"/>
  <c r="F30" i="61"/>
  <c r="F34" i="61"/>
  <c r="R35" i="61"/>
  <c r="F37" i="61"/>
  <c r="V37" i="61"/>
  <c r="R38" i="61"/>
  <c r="J39" i="61"/>
  <c r="F42" i="61"/>
  <c r="F48" i="61"/>
  <c r="X12" i="62"/>
  <c r="V17" i="62"/>
  <c r="V19" i="62"/>
  <c r="L20" i="62"/>
  <c r="N20" i="62" s="1"/>
  <c r="V23" i="62"/>
  <c r="R24" i="62"/>
  <c r="V35" i="62"/>
  <c r="R36" i="62"/>
  <c r="V39" i="62"/>
  <c r="R40" i="62"/>
  <c r="V43" i="62"/>
  <c r="L44" i="62"/>
  <c r="N44" i="62" s="1"/>
  <c r="J47" i="62"/>
  <c r="R49" i="62"/>
  <c r="J51" i="62"/>
  <c r="X54" i="62"/>
  <c r="Z54" i="62" s="1"/>
  <c r="V55" i="62"/>
  <c r="L56" i="62"/>
  <c r="N56" i="62" s="1"/>
  <c r="J59" i="62"/>
  <c r="X62" i="62"/>
  <c r="Z62" i="62" s="1"/>
  <c r="V63" i="62"/>
  <c r="L64" i="62"/>
  <c r="J67" i="62"/>
  <c r="J71" i="62"/>
  <c r="R73" i="62"/>
  <c r="J75" i="62"/>
  <c r="R77" i="62"/>
  <c r="V79" i="62"/>
  <c r="R80" i="62"/>
  <c r="J83" i="62"/>
  <c r="J87" i="62"/>
  <c r="X90" i="62"/>
  <c r="V91" i="62"/>
  <c r="R92" i="62"/>
  <c r="J93" i="62"/>
  <c r="V97" i="62"/>
  <c r="J101" i="62"/>
  <c r="V103" i="62"/>
  <c r="Z12" i="63"/>
  <c r="V32" i="63"/>
  <c r="R36" i="63"/>
  <c r="R42" i="63"/>
  <c r="N14" i="64"/>
  <c r="F50" i="65"/>
  <c r="F41" i="65"/>
  <c r="F38" i="65"/>
  <c r="F33" i="65"/>
  <c r="F30" i="65"/>
  <c r="F26" i="65"/>
  <c r="F53" i="65"/>
  <c r="F29" i="65"/>
  <c r="F22" i="65"/>
  <c r="F57" i="65"/>
  <c r="F43" i="65"/>
  <c r="F40" i="65"/>
  <c r="F35" i="65"/>
  <c r="F32" i="65"/>
  <c r="D22" i="65"/>
  <c r="F20" i="65"/>
  <c r="F61" i="65"/>
  <c r="F55" i="65"/>
  <c r="F46" i="65"/>
  <c r="F19" i="65"/>
  <c r="F49" i="65"/>
  <c r="F42" i="65"/>
  <c r="F37" i="65"/>
  <c r="F34" i="65"/>
  <c r="F25" i="65"/>
  <c r="F24" i="65"/>
  <c r="F48" i="65"/>
  <c r="F44" i="65"/>
  <c r="F39" i="65"/>
  <c r="F36" i="65"/>
  <c r="F31" i="65"/>
  <c r="F54" i="65"/>
  <c r="F51" i="65"/>
  <c r="F47" i="65"/>
  <c r="F27" i="65"/>
  <c r="F18" i="65"/>
  <c r="V73" i="66"/>
  <c r="V85" i="66"/>
  <c r="F16" i="57"/>
  <c r="V16" i="57"/>
  <c r="J18" i="57"/>
  <c r="V18" i="57"/>
  <c r="V22" i="57"/>
  <c r="R23" i="57"/>
  <c r="J26" i="57"/>
  <c r="F27" i="57"/>
  <c r="R28" i="57"/>
  <c r="J30" i="57"/>
  <c r="F31" i="57"/>
  <c r="R32" i="57"/>
  <c r="F34" i="57"/>
  <c r="V34" i="57"/>
  <c r="R35" i="57"/>
  <c r="J36" i="57"/>
  <c r="F39" i="57"/>
  <c r="J42" i="57"/>
  <c r="J46" i="57"/>
  <c r="V50" i="57"/>
  <c r="R51" i="57"/>
  <c r="J52" i="57"/>
  <c r="F55" i="57"/>
  <c r="R56" i="57"/>
  <c r="R19" i="58"/>
  <c r="F22" i="58"/>
  <c r="V25" i="58"/>
  <c r="R26" i="58"/>
  <c r="F34" i="58"/>
  <c r="V41" i="58"/>
  <c r="F49" i="58"/>
  <c r="V49" i="58"/>
  <c r="R50" i="58"/>
  <c r="V53" i="58"/>
  <c r="R54" i="58"/>
  <c r="V57" i="58"/>
  <c r="R58" i="58"/>
  <c r="V61" i="58"/>
  <c r="F67" i="58"/>
  <c r="V67" i="58"/>
  <c r="F73" i="58"/>
  <c r="V73" i="58"/>
  <c r="Z12" i="59"/>
  <c r="R14" i="59"/>
  <c r="J16" i="59"/>
  <c r="J20" i="59"/>
  <c r="V24" i="59"/>
  <c r="R25" i="59"/>
  <c r="J28" i="59"/>
  <c r="J32" i="59"/>
  <c r="V36" i="59"/>
  <c r="J40" i="59"/>
  <c r="R46" i="59"/>
  <c r="J48" i="59"/>
  <c r="V52" i="59"/>
  <c r="V56" i="59"/>
  <c r="V58" i="59"/>
  <c r="V63" i="59"/>
  <c r="N12" i="60"/>
  <c r="J14" i="60"/>
  <c r="V20" i="60"/>
  <c r="J24" i="60"/>
  <c r="F25" i="60"/>
  <c r="F29" i="60"/>
  <c r="F32" i="60"/>
  <c r="V32" i="60"/>
  <c r="J34" i="60"/>
  <c r="V36" i="60"/>
  <c r="V40" i="60"/>
  <c r="J46" i="60"/>
  <c r="J53" i="60"/>
  <c r="F16" i="61"/>
  <c r="V16" i="61"/>
  <c r="J18" i="61"/>
  <c r="V18" i="61"/>
  <c r="V22" i="61"/>
  <c r="R23" i="61"/>
  <c r="J26" i="61"/>
  <c r="F27" i="61"/>
  <c r="R28" i="61"/>
  <c r="J30" i="61"/>
  <c r="F31" i="61"/>
  <c r="J34" i="61"/>
  <c r="V38" i="61"/>
  <c r="J42" i="61"/>
  <c r="F44" i="61"/>
  <c r="V44" i="61"/>
  <c r="J48" i="61"/>
  <c r="F50" i="61"/>
  <c r="V50" i="61"/>
  <c r="Z12" i="62"/>
  <c r="R14" i="62"/>
  <c r="H17" i="62"/>
  <c r="V24" i="62"/>
  <c r="R25" i="62"/>
  <c r="V36" i="62"/>
  <c r="R37" i="62"/>
  <c r="V40" i="62"/>
  <c r="R46" i="62"/>
  <c r="J48" i="62"/>
  <c r="V52" i="62"/>
  <c r="R53" i="62"/>
  <c r="J54" i="62"/>
  <c r="R58" i="62"/>
  <c r="V60" i="62"/>
  <c r="R61" i="62"/>
  <c r="J62" i="62"/>
  <c r="R66" i="62"/>
  <c r="V68" i="62"/>
  <c r="R69" i="62"/>
  <c r="J72" i="62"/>
  <c r="J76" i="62"/>
  <c r="V80" i="62"/>
  <c r="R81" i="62"/>
  <c r="J84" i="62"/>
  <c r="R86" i="62"/>
  <c r="V88" i="62"/>
  <c r="R89" i="62"/>
  <c r="J90" i="62"/>
  <c r="V92" i="62"/>
  <c r="R96" i="62"/>
  <c r="L16" i="63"/>
  <c r="R19" i="63"/>
  <c r="F22" i="63"/>
  <c r="F26" i="63"/>
  <c r="R27" i="63"/>
  <c r="F29" i="63"/>
  <c r="V29" i="63"/>
  <c r="R30" i="63"/>
  <c r="F34" i="63"/>
  <c r="F40" i="63"/>
  <c r="Z51" i="64"/>
  <c r="Z72" i="64"/>
  <c r="N77" i="64"/>
  <c r="R42" i="65"/>
  <c r="R39" i="65"/>
  <c r="R34" i="65"/>
  <c r="R31" i="65"/>
  <c r="R54" i="65"/>
  <c r="R45" i="65"/>
  <c r="R18" i="65"/>
  <c r="R48" i="65"/>
  <c r="R44" i="65"/>
  <c r="R41" i="65"/>
  <c r="R36" i="65"/>
  <c r="R33" i="65"/>
  <c r="R51" i="65"/>
  <c r="R47" i="65"/>
  <c r="R27" i="65"/>
  <c r="R57" i="65"/>
  <c r="R50" i="65"/>
  <c r="R43" i="65"/>
  <c r="R38" i="65"/>
  <c r="R35" i="65"/>
  <c r="R30" i="65"/>
  <c r="R26" i="65"/>
  <c r="R24" i="65"/>
  <c r="P22" i="65"/>
  <c r="R22" i="65" s="1"/>
  <c r="R49" i="65"/>
  <c r="R40" i="65"/>
  <c r="R37" i="65"/>
  <c r="R32" i="65"/>
  <c r="R25" i="65"/>
  <c r="R20" i="65"/>
  <c r="X12" i="65"/>
  <c r="R61" i="65"/>
  <c r="R55" i="65"/>
  <c r="R52" i="65"/>
  <c r="R28" i="65"/>
  <c r="R19" i="65"/>
  <c r="Z24" i="65"/>
  <c r="F52" i="65"/>
  <c r="R53" i="65"/>
  <c r="H12" i="66"/>
  <c r="L23" i="66"/>
  <c r="N23" i="66" s="1"/>
  <c r="V61" i="66"/>
  <c r="V81" i="66"/>
  <c r="N84" i="66"/>
  <c r="L84" i="66"/>
  <c r="Z88" i="66"/>
  <c r="V97" i="66"/>
  <c r="L144" i="69"/>
  <c r="D143" i="69"/>
  <c r="L143" i="69" s="1"/>
  <c r="N143" i="69" s="1"/>
  <c r="X33" i="56"/>
  <c r="Z33" i="56" s="1"/>
  <c r="R14" i="57"/>
  <c r="J16" i="57"/>
  <c r="Z16" i="57"/>
  <c r="J20" i="57"/>
  <c r="F21" i="57"/>
  <c r="V24" i="57"/>
  <c r="R25" i="57"/>
  <c r="F28" i="57"/>
  <c r="V28" i="57"/>
  <c r="R29" i="57"/>
  <c r="F32" i="57"/>
  <c r="V32" i="57"/>
  <c r="R33" i="57"/>
  <c r="J34" i="57"/>
  <c r="F37" i="57"/>
  <c r="R38" i="57"/>
  <c r="J40" i="57"/>
  <c r="V44" i="57"/>
  <c r="R45" i="57"/>
  <c r="V48" i="57"/>
  <c r="F53" i="57"/>
  <c r="R54" i="57"/>
  <c r="F56" i="57"/>
  <c r="V56" i="57"/>
  <c r="R57" i="57"/>
  <c r="D61" i="57"/>
  <c r="R63" i="57"/>
  <c r="P16" i="58"/>
  <c r="R18" i="58"/>
  <c r="V19" i="58"/>
  <c r="R20" i="58"/>
  <c r="F24" i="58"/>
  <c r="V27" i="58"/>
  <c r="R28" i="58"/>
  <c r="V31" i="58"/>
  <c r="R32" i="58"/>
  <c r="V39" i="58"/>
  <c r="V47" i="58"/>
  <c r="R48" i="58"/>
  <c r="V51" i="58"/>
  <c r="F56" i="58"/>
  <c r="V59" i="58"/>
  <c r="R69" i="58"/>
  <c r="R76" i="58"/>
  <c r="J22" i="59"/>
  <c r="V26" i="59"/>
  <c r="R27" i="59"/>
  <c r="V30" i="59"/>
  <c r="R31" i="59"/>
  <c r="V34" i="59"/>
  <c r="J38" i="59"/>
  <c r="J42" i="59"/>
  <c r="R44" i="59"/>
  <c r="V46" i="59"/>
  <c r="R47" i="59"/>
  <c r="V50" i="59"/>
  <c r="R54" i="59"/>
  <c r="J56" i="59"/>
  <c r="R60" i="59"/>
  <c r="J63" i="59"/>
  <c r="F16" i="60"/>
  <c r="V16" i="60"/>
  <c r="J18" i="60"/>
  <c r="V18" i="60"/>
  <c r="V22" i="60"/>
  <c r="J26" i="60"/>
  <c r="F27" i="60"/>
  <c r="F30" i="60"/>
  <c r="V30" i="60"/>
  <c r="J32" i="60"/>
  <c r="F35" i="60"/>
  <c r="J38" i="60"/>
  <c r="F39" i="60"/>
  <c r="J42" i="60"/>
  <c r="F44" i="60"/>
  <c r="V44" i="60"/>
  <c r="J48" i="60"/>
  <c r="F50" i="60"/>
  <c r="V50" i="60"/>
  <c r="Z12" i="61"/>
  <c r="R14" i="61"/>
  <c r="J16" i="61"/>
  <c r="J20" i="61"/>
  <c r="F21" i="61"/>
  <c r="V24" i="61"/>
  <c r="R25" i="61"/>
  <c r="F28" i="61"/>
  <c r="V28" i="61"/>
  <c r="R29" i="61"/>
  <c r="J32" i="61"/>
  <c r="V36" i="61"/>
  <c r="J40" i="61"/>
  <c r="J44" i="61"/>
  <c r="R46" i="61"/>
  <c r="J50" i="61"/>
  <c r="R53" i="61"/>
  <c r="V14" i="62"/>
  <c r="R15" i="62"/>
  <c r="R20" i="62"/>
  <c r="J22" i="62"/>
  <c r="V26" i="62"/>
  <c r="R27" i="62"/>
  <c r="J30" i="62"/>
  <c r="J34" i="62"/>
  <c r="V38" i="62"/>
  <c r="J42" i="62"/>
  <c r="R44" i="62"/>
  <c r="V46" i="62"/>
  <c r="R47" i="62"/>
  <c r="V50" i="62"/>
  <c r="R51" i="62"/>
  <c r="J52" i="62"/>
  <c r="R56" i="62"/>
  <c r="V58" i="62"/>
  <c r="R59" i="62"/>
  <c r="J60" i="62"/>
  <c r="R64" i="62"/>
  <c r="V66" i="62"/>
  <c r="R67" i="62"/>
  <c r="J68" i="62"/>
  <c r="V70" i="62"/>
  <c r="R71" i="62"/>
  <c r="V74" i="62"/>
  <c r="R75" i="62"/>
  <c r="V78" i="62"/>
  <c r="V82" i="62"/>
  <c r="R83" i="62"/>
  <c r="V86" i="62"/>
  <c r="R87" i="62"/>
  <c r="J88" i="62"/>
  <c r="J94" i="62"/>
  <c r="V96" i="62"/>
  <c r="R101" i="62"/>
  <c r="L12" i="63"/>
  <c r="P16" i="63"/>
  <c r="F18" i="63"/>
  <c r="R18" i="63"/>
  <c r="F19" i="63"/>
  <c r="V19" i="63"/>
  <c r="R20" i="63"/>
  <c r="F27" i="63"/>
  <c r="V27" i="63"/>
  <c r="R28" i="63"/>
  <c r="F32" i="63"/>
  <c r="R33" i="63"/>
  <c r="Z53" i="64"/>
  <c r="X53" i="64"/>
  <c r="N55" i="64"/>
  <c r="L55" i="64"/>
  <c r="F28" i="65"/>
  <c r="Z19" i="66"/>
  <c r="N22" i="66"/>
  <c r="X27" i="66"/>
  <c r="Z27" i="66" s="1"/>
  <c r="N31" i="66"/>
  <c r="Z36" i="66"/>
  <c r="V69" i="66"/>
  <c r="V93" i="66"/>
  <c r="Z108" i="66"/>
  <c r="R19" i="57"/>
  <c r="J21" i="57"/>
  <c r="F22" i="57"/>
  <c r="V25" i="57"/>
  <c r="R26" i="57"/>
  <c r="V29" i="57"/>
  <c r="R30" i="57"/>
  <c r="V33" i="57"/>
  <c r="J37" i="57"/>
  <c r="F41" i="57"/>
  <c r="V41" i="57"/>
  <c r="R42" i="57"/>
  <c r="J43" i="57"/>
  <c r="V45" i="57"/>
  <c r="R46" i="57"/>
  <c r="J47" i="57"/>
  <c r="F50" i="57"/>
  <c r="J53" i="57"/>
  <c r="V57" i="57"/>
  <c r="F61" i="57"/>
  <c r="V61" i="57"/>
  <c r="V63" i="57"/>
  <c r="F68" i="57"/>
  <c r="V68" i="57"/>
  <c r="R16" i="58"/>
  <c r="V20" i="58"/>
  <c r="R21" i="58"/>
  <c r="F25" i="58"/>
  <c r="V28" i="58"/>
  <c r="R29" i="58"/>
  <c r="V32" i="58"/>
  <c r="R33" i="58"/>
  <c r="F36" i="58"/>
  <c r="V36" i="58"/>
  <c r="R37" i="58"/>
  <c r="F41" i="58"/>
  <c r="R42" i="58"/>
  <c r="F44" i="58"/>
  <c r="V44" i="58"/>
  <c r="R45" i="58"/>
  <c r="V48" i="58"/>
  <c r="F53" i="58"/>
  <c r="F57" i="58"/>
  <c r="F61" i="58"/>
  <c r="R62" i="58"/>
  <c r="F64" i="58"/>
  <c r="V64" i="58"/>
  <c r="R65" i="58"/>
  <c r="R71" i="58"/>
  <c r="P16" i="59"/>
  <c r="R18" i="59"/>
  <c r="R20" i="59"/>
  <c r="J23" i="59"/>
  <c r="V27" i="59"/>
  <c r="R28" i="59"/>
  <c r="J29" i="59"/>
  <c r="V31" i="59"/>
  <c r="R32" i="59"/>
  <c r="J33" i="59"/>
  <c r="R37" i="59"/>
  <c r="V39" i="59"/>
  <c r="R40" i="59"/>
  <c r="J43" i="59"/>
  <c r="V47" i="59"/>
  <c r="R48" i="59"/>
  <c r="J49" i="59"/>
  <c r="F20" i="60"/>
  <c r="J35" i="60"/>
  <c r="F36" i="60"/>
  <c r="J39" i="60"/>
  <c r="F40" i="60"/>
  <c r="F22" i="61"/>
  <c r="F33" i="61"/>
  <c r="R34" i="61"/>
  <c r="F38" i="61"/>
  <c r="R39" i="61"/>
  <c r="F41" i="61"/>
  <c r="R42" i="61"/>
  <c r="R48" i="61"/>
  <c r="V27" i="62"/>
  <c r="R28" i="62"/>
  <c r="V31" i="62"/>
  <c r="R32" i="62"/>
  <c r="R41" i="62"/>
  <c r="J43" i="62"/>
  <c r="V47" i="62"/>
  <c r="R48" i="62"/>
  <c r="J49" i="62"/>
  <c r="V51" i="62"/>
  <c r="J55" i="62"/>
  <c r="V59" i="62"/>
  <c r="J63" i="62"/>
  <c r="V67" i="62"/>
  <c r="V71" i="62"/>
  <c r="R72" i="62"/>
  <c r="J73" i="62"/>
  <c r="V75" i="62"/>
  <c r="R76" i="62"/>
  <c r="J77" i="62"/>
  <c r="V83" i="62"/>
  <c r="R84" i="62"/>
  <c r="V87" i="62"/>
  <c r="J91" i="62"/>
  <c r="R93" i="62"/>
  <c r="V99" i="62"/>
  <c r="V101" i="62"/>
  <c r="V106" i="62"/>
  <c r="V20" i="63"/>
  <c r="R21" i="63"/>
  <c r="V24" i="63"/>
  <c r="R25" i="63"/>
  <c r="V28" i="63"/>
  <c r="R38" i="63"/>
  <c r="R45" i="63"/>
  <c r="Z37" i="65"/>
  <c r="X37" i="65"/>
  <c r="N39" i="65"/>
  <c r="L39" i="65"/>
  <c r="Z49" i="65"/>
  <c r="X49" i="65"/>
  <c r="D12" i="66"/>
  <c r="L16" i="66"/>
  <c r="L60" i="66"/>
  <c r="J22" i="57"/>
  <c r="V26" i="57"/>
  <c r="R27" i="57"/>
  <c r="J28" i="57"/>
  <c r="V30" i="57"/>
  <c r="R31" i="57"/>
  <c r="J32" i="57"/>
  <c r="F35" i="57"/>
  <c r="R36" i="57"/>
  <c r="F38" i="57"/>
  <c r="V38" i="57"/>
  <c r="R39" i="57"/>
  <c r="V42" i="57"/>
  <c r="V46" i="57"/>
  <c r="J50" i="57"/>
  <c r="F51" i="57"/>
  <c r="R52" i="57"/>
  <c r="F54" i="57"/>
  <c r="V54" i="57"/>
  <c r="R55" i="57"/>
  <c r="J56" i="57"/>
  <c r="T16" i="58"/>
  <c r="V21" i="58"/>
  <c r="R22" i="58"/>
  <c r="F26" i="58"/>
  <c r="V29" i="58"/>
  <c r="V33" i="58"/>
  <c r="R34" i="58"/>
  <c r="V37" i="58"/>
  <c r="V45" i="58"/>
  <c r="F50" i="58"/>
  <c r="F54" i="58"/>
  <c r="R55" i="58"/>
  <c r="F58" i="58"/>
  <c r="V65" i="58"/>
  <c r="F69" i="58"/>
  <c r="V69" i="58"/>
  <c r="V71" i="58"/>
  <c r="F76" i="58"/>
  <c r="V76" i="58"/>
  <c r="N12" i="59"/>
  <c r="J14" i="59"/>
  <c r="R16" i="59"/>
  <c r="V20" i="59"/>
  <c r="R21" i="59"/>
  <c r="J24" i="59"/>
  <c r="V28" i="59"/>
  <c r="V32" i="59"/>
  <c r="J36" i="59"/>
  <c r="V40" i="59"/>
  <c r="R41" i="59"/>
  <c r="V44" i="59"/>
  <c r="R45" i="59"/>
  <c r="J46" i="59"/>
  <c r="V48" i="59"/>
  <c r="J52" i="59"/>
  <c r="V54" i="59"/>
  <c r="J58" i="59"/>
  <c r="V60" i="59"/>
  <c r="J16" i="60"/>
  <c r="J20" i="60"/>
  <c r="F21" i="60"/>
  <c r="V24" i="60"/>
  <c r="F28" i="60"/>
  <c r="V28" i="60"/>
  <c r="J30" i="60"/>
  <c r="F33" i="60"/>
  <c r="J36" i="60"/>
  <c r="J40" i="60"/>
  <c r="J44" i="60"/>
  <c r="J50" i="60"/>
  <c r="F14" i="61"/>
  <c r="J22" i="61"/>
  <c r="F23" i="61"/>
  <c r="V26" i="61"/>
  <c r="R27" i="61"/>
  <c r="J28" i="61"/>
  <c r="V30" i="61"/>
  <c r="R31" i="61"/>
  <c r="V34" i="61"/>
  <c r="J38" i="61"/>
  <c r="V42" i="61"/>
  <c r="F46" i="61"/>
  <c r="V46" i="61"/>
  <c r="V48" i="61"/>
  <c r="F53" i="61"/>
  <c r="V53" i="61"/>
  <c r="P17" i="62"/>
  <c r="R19" i="62"/>
  <c r="V20" i="62"/>
  <c r="R21" i="62"/>
  <c r="V28" i="62"/>
  <c r="R29" i="62"/>
  <c r="V32" i="62"/>
  <c r="R33" i="62"/>
  <c r="J40" i="62"/>
  <c r="V44" i="62"/>
  <c r="R45" i="62"/>
  <c r="J46" i="62"/>
  <c r="V48" i="62"/>
  <c r="R54" i="62"/>
  <c r="V56" i="62"/>
  <c r="R57" i="62"/>
  <c r="J58" i="62"/>
  <c r="R62" i="62"/>
  <c r="V64" i="62"/>
  <c r="R65" i="62"/>
  <c r="J66" i="62"/>
  <c r="V72" i="62"/>
  <c r="V76" i="62"/>
  <c r="J80" i="62"/>
  <c r="V84" i="62"/>
  <c r="R85" i="62"/>
  <c r="J86" i="62"/>
  <c r="R90" i="62"/>
  <c r="J92" i="62"/>
  <c r="J96" i="62"/>
  <c r="T16" i="63"/>
  <c r="V21" i="63"/>
  <c r="R22" i="63"/>
  <c r="V25" i="63"/>
  <c r="R26" i="63"/>
  <c r="F30" i="63"/>
  <c r="R31" i="63"/>
  <c r="F33" i="63"/>
  <c r="V33" i="63"/>
  <c r="R34" i="63"/>
  <c r="R40" i="63"/>
  <c r="N41" i="64"/>
  <c r="F45" i="65"/>
  <c r="N16" i="66"/>
  <c r="Z18" i="66"/>
  <c r="X35" i="66"/>
  <c r="Z102" i="66"/>
  <c r="Z114" i="66"/>
  <c r="J35" i="57"/>
  <c r="R40" i="57"/>
  <c r="J41" i="57"/>
  <c r="R49" i="57"/>
  <c r="J51" i="57"/>
  <c r="V55" i="57"/>
  <c r="R59" i="57"/>
  <c r="J61" i="57"/>
  <c r="R65" i="57"/>
  <c r="J68" i="57"/>
  <c r="V16" i="58"/>
  <c r="V18" i="58"/>
  <c r="V22" i="58"/>
  <c r="V34" i="58"/>
  <c r="R40" i="58"/>
  <c r="V42" i="58"/>
  <c r="R43" i="58"/>
  <c r="R52" i="58"/>
  <c r="F59" i="58"/>
  <c r="R60" i="58"/>
  <c r="F62" i="58"/>
  <c r="V62" i="58"/>
  <c r="R63" i="58"/>
  <c r="R22" i="59"/>
  <c r="R35" i="59"/>
  <c r="R38" i="59"/>
  <c r="J39" i="59"/>
  <c r="R42" i="59"/>
  <c r="R51" i="59"/>
  <c r="F22" i="60"/>
  <c r="F37" i="60"/>
  <c r="F41" i="60"/>
  <c r="F36" i="61"/>
  <c r="F39" i="61"/>
  <c r="R17" i="62"/>
  <c r="R22" i="62"/>
  <c r="R30" i="62"/>
  <c r="R34" i="62"/>
  <c r="R39" i="62"/>
  <c r="R42" i="62"/>
  <c r="V65" i="62"/>
  <c r="R79" i="62"/>
  <c r="V85" i="62"/>
  <c r="J89" i="62"/>
  <c r="V93" i="62"/>
  <c r="R94" i="62"/>
  <c r="R97" i="62"/>
  <c r="J99" i="62"/>
  <c r="R103" i="62"/>
  <c r="J106" i="62"/>
  <c r="V16" i="63"/>
  <c r="V18" i="63"/>
  <c r="V22" i="63"/>
  <c r="V26" i="63"/>
  <c r="V34" i="63"/>
  <c r="V38" i="63"/>
  <c r="V40" i="63"/>
  <c r="V45" i="63"/>
  <c r="Z25" i="65"/>
  <c r="X25" i="65"/>
  <c r="N31" i="65"/>
  <c r="L31" i="65"/>
  <c r="V118" i="66"/>
  <c r="V113" i="66"/>
  <c r="V112" i="66"/>
  <c r="V106" i="66"/>
  <c r="V102" i="66"/>
  <c r="V90" i="66"/>
  <c r="V86" i="66"/>
  <c r="V78" i="66"/>
  <c r="V66" i="66"/>
  <c r="V54" i="66"/>
  <c r="V46" i="66"/>
  <c r="V114" i="66"/>
  <c r="V109" i="66"/>
  <c r="V105" i="66"/>
  <c r="V89" i="66"/>
  <c r="V77" i="66"/>
  <c r="V65" i="66"/>
  <c r="V53" i="66"/>
  <c r="V45" i="66"/>
  <c r="V108" i="66"/>
  <c r="V92" i="66"/>
  <c r="V88" i="66"/>
  <c r="V80" i="66"/>
  <c r="V76" i="66"/>
  <c r="V64" i="66"/>
  <c r="V60" i="66"/>
  <c r="V52" i="66"/>
  <c r="V44" i="66"/>
  <c r="V91" i="66"/>
  <c r="V83" i="66"/>
  <c r="V79" i="66"/>
  <c r="V75" i="66"/>
  <c r="V63" i="66"/>
  <c r="T58" i="66"/>
  <c r="V51" i="66"/>
  <c r="V43" i="66"/>
  <c r="V98" i="66"/>
  <c r="V94" i="66"/>
  <c r="V82" i="66"/>
  <c r="V74" i="66"/>
  <c r="V70" i="66"/>
  <c r="V62" i="66"/>
  <c r="V50" i="66"/>
  <c r="V42" i="66"/>
  <c r="V104" i="66"/>
  <c r="V100" i="66"/>
  <c r="V96" i="66"/>
  <c r="V84" i="66"/>
  <c r="V72" i="66"/>
  <c r="V68" i="66"/>
  <c r="V56" i="66"/>
  <c r="V48" i="66"/>
  <c r="V40" i="66"/>
  <c r="V107" i="66"/>
  <c r="V103" i="66"/>
  <c r="V99" i="66"/>
  <c r="V95" i="66"/>
  <c r="V87" i="66"/>
  <c r="V71" i="66"/>
  <c r="V67" i="66"/>
  <c r="V55" i="66"/>
  <c r="V47" i="66"/>
  <c r="V39" i="66"/>
  <c r="Z35" i="66"/>
  <c r="N60" i="66"/>
  <c r="V101" i="66"/>
  <c r="R140" i="69"/>
  <c r="R135" i="69"/>
  <c r="R123" i="69"/>
  <c r="R116" i="69"/>
  <c r="R104" i="69"/>
  <c r="R91" i="69"/>
  <c r="R79" i="69"/>
  <c r="R71" i="69"/>
  <c r="R63" i="69"/>
  <c r="R56" i="69"/>
  <c r="R145" i="69"/>
  <c r="R134" i="69"/>
  <c r="R126" i="69"/>
  <c r="R122" i="69"/>
  <c r="R119" i="69"/>
  <c r="R110" i="69"/>
  <c r="R107" i="69"/>
  <c r="R95" i="69"/>
  <c r="R90" i="69"/>
  <c r="R78" i="69"/>
  <c r="R70" i="69"/>
  <c r="R62" i="69"/>
  <c r="R137" i="69"/>
  <c r="R133" i="69"/>
  <c r="R129" i="69"/>
  <c r="R125" i="69"/>
  <c r="R113" i="69"/>
  <c r="R101" i="69"/>
  <c r="R89" i="69"/>
  <c r="R77" i="69"/>
  <c r="R69" i="69"/>
  <c r="R61" i="69"/>
  <c r="R132" i="69"/>
  <c r="R128" i="69"/>
  <c r="R121" i="69"/>
  <c r="R112" i="69"/>
  <c r="R109" i="69"/>
  <c r="R100" i="69"/>
  <c r="R88" i="69"/>
  <c r="R76" i="69"/>
  <c r="R68" i="69"/>
  <c r="R60" i="69"/>
  <c r="R149" i="69"/>
  <c r="R139" i="69"/>
  <c r="R136" i="69"/>
  <c r="R131" i="69"/>
  <c r="R124" i="69"/>
  <c r="R115" i="69"/>
  <c r="R103" i="69"/>
  <c r="R99" i="69"/>
  <c r="R87" i="69"/>
  <c r="R85" i="69"/>
  <c r="P83" i="69"/>
  <c r="R83" i="69" s="1"/>
  <c r="R75" i="69"/>
  <c r="R67" i="69"/>
  <c r="R59" i="69"/>
  <c r="R144" i="69"/>
  <c r="R141" i="69"/>
  <c r="R138" i="69"/>
  <c r="R130" i="69"/>
  <c r="R117" i="69"/>
  <c r="R114" i="69"/>
  <c r="R105" i="69"/>
  <c r="R102" i="69"/>
  <c r="R97" i="69"/>
  <c r="R93" i="69"/>
  <c r="R86" i="69"/>
  <c r="R81" i="69"/>
  <c r="R73" i="69"/>
  <c r="R65" i="69"/>
  <c r="R57" i="69"/>
  <c r="R120" i="69"/>
  <c r="R108" i="69"/>
  <c r="R96" i="69"/>
  <c r="R92" i="69"/>
  <c r="R80" i="69"/>
  <c r="R72" i="69"/>
  <c r="R64" i="69"/>
  <c r="R94" i="69"/>
  <c r="R74" i="69"/>
  <c r="R127" i="69"/>
  <c r="R58" i="69"/>
  <c r="R106" i="69"/>
  <c r="R118" i="69"/>
  <c r="R98" i="69"/>
  <c r="R66" i="69"/>
  <c r="R111" i="69"/>
  <c r="N12" i="57"/>
  <c r="J14" i="57"/>
  <c r="R16" i="57"/>
  <c r="V20" i="57"/>
  <c r="R21" i="57"/>
  <c r="J24" i="57"/>
  <c r="F25" i="57"/>
  <c r="F29" i="57"/>
  <c r="F33" i="57"/>
  <c r="R34" i="57"/>
  <c r="F36" i="57"/>
  <c r="V36" i="57"/>
  <c r="R37" i="57"/>
  <c r="J38" i="57"/>
  <c r="V40" i="57"/>
  <c r="J44" i="57"/>
  <c r="F45" i="57"/>
  <c r="J48" i="57"/>
  <c r="F52" i="57"/>
  <c r="F57" i="57"/>
  <c r="X12" i="58"/>
  <c r="F20" i="58"/>
  <c r="V23" i="58"/>
  <c r="R24" i="58"/>
  <c r="F28" i="58"/>
  <c r="F32" i="58"/>
  <c r="V35" i="58"/>
  <c r="V43" i="58"/>
  <c r="F48" i="58"/>
  <c r="R49" i="58"/>
  <c r="V55" i="58"/>
  <c r="R56" i="58"/>
  <c r="R67" i="58"/>
  <c r="V16" i="59"/>
  <c r="J18" i="59"/>
  <c r="V18" i="59"/>
  <c r="V22" i="59"/>
  <c r="R23" i="59"/>
  <c r="J26" i="59"/>
  <c r="J30" i="59"/>
  <c r="J34" i="59"/>
  <c r="V38" i="59"/>
  <c r="R43" i="59"/>
  <c r="J44" i="59"/>
  <c r="J50" i="59"/>
  <c r="J54" i="59"/>
  <c r="R56" i="59"/>
  <c r="F14" i="60"/>
  <c r="J22" i="60"/>
  <c r="F23" i="60"/>
  <c r="V26" i="60"/>
  <c r="F31" i="60"/>
  <c r="F34" i="60"/>
  <c r="V34" i="60"/>
  <c r="V38" i="60"/>
  <c r="V42" i="60"/>
  <c r="F46" i="60"/>
  <c r="V46" i="60"/>
  <c r="V48" i="60"/>
  <c r="N12" i="61"/>
  <c r="J14" i="61"/>
  <c r="R16" i="61"/>
  <c r="V20" i="61"/>
  <c r="R21" i="61"/>
  <c r="J24" i="61"/>
  <c r="F25" i="61"/>
  <c r="V32" i="61"/>
  <c r="J36" i="61"/>
  <c r="R44" i="61"/>
  <c r="J46" i="61"/>
  <c r="T17" i="62"/>
  <c r="J20" i="62"/>
  <c r="V22" i="62"/>
  <c r="R23" i="62"/>
  <c r="J26" i="62"/>
  <c r="V30" i="62"/>
  <c r="V34" i="62"/>
  <c r="R35" i="62"/>
  <c r="J38" i="62"/>
  <c r="V42" i="62"/>
  <c r="R43" i="62"/>
  <c r="J44" i="62"/>
  <c r="J50" i="62"/>
  <c r="R52" i="62"/>
  <c r="V54" i="62"/>
  <c r="R55" i="62"/>
  <c r="J56" i="62"/>
  <c r="R60" i="62"/>
  <c r="V62" i="62"/>
  <c r="R63" i="62"/>
  <c r="J64" i="62"/>
  <c r="R68" i="62"/>
  <c r="J70" i="62"/>
  <c r="J74" i="62"/>
  <c r="J78" i="62"/>
  <c r="R88" i="62"/>
  <c r="V90" i="62"/>
  <c r="X12" i="63"/>
  <c r="F20" i="63"/>
  <c r="V23" i="63"/>
  <c r="F28" i="63"/>
  <c r="R29" i="63"/>
  <c r="X41" i="64"/>
  <c r="Z41" i="64" s="1"/>
  <c r="N67" i="64"/>
  <c r="L67" i="64"/>
  <c r="N24" i="65"/>
  <c r="P12" i="66"/>
  <c r="L15" i="66"/>
  <c r="N15" i="66" s="1"/>
  <c r="V49" i="66"/>
  <c r="Z86" i="66"/>
  <c r="N88" i="66"/>
  <c r="Z113" i="66"/>
  <c r="T12" i="65"/>
  <c r="Z15" i="66"/>
  <c r="N19" i="66"/>
  <c r="Z23" i="66"/>
  <c r="N27" i="66"/>
  <c r="Z31" i="66"/>
  <c r="N35" i="66"/>
  <c r="X112" i="66"/>
  <c r="Z112" i="66" s="1"/>
  <c r="D12" i="67"/>
  <c r="L13" i="67"/>
  <c r="R34" i="67"/>
  <c r="Z22" i="69"/>
  <c r="Z26" i="69"/>
  <c r="Z35" i="69"/>
  <c r="N38" i="69"/>
  <c r="Z39" i="69"/>
  <c r="L47" i="69"/>
  <c r="Z48" i="69"/>
  <c r="N56" i="69"/>
  <c r="Z140" i="69"/>
  <c r="T111" i="66"/>
  <c r="V111" i="66" s="1"/>
  <c r="N114" i="66"/>
  <c r="N47" i="69"/>
  <c r="Z116" i="69"/>
  <c r="N19" i="70"/>
  <c r="H12" i="70"/>
  <c r="L19" i="70"/>
  <c r="X14" i="65"/>
  <c r="X28" i="65"/>
  <c r="X52" i="65"/>
  <c r="Z52" i="65" s="1"/>
  <c r="L54" i="65"/>
  <c r="N14" i="66"/>
  <c r="L39" i="66"/>
  <c r="N39" i="66" s="1"/>
  <c r="Z33" i="67"/>
  <c r="Z37" i="67"/>
  <c r="N15" i="69"/>
  <c r="N19" i="69"/>
  <c r="N23" i="69"/>
  <c r="L31" i="69"/>
  <c r="N42" i="69"/>
  <c r="Z43" i="69"/>
  <c r="Z47" i="69"/>
  <c r="X51" i="69"/>
  <c r="Z51" i="69" s="1"/>
  <c r="X86" i="69"/>
  <c r="Z86" i="69" s="1"/>
  <c r="H12" i="65"/>
  <c r="X113" i="66"/>
  <c r="Z18" i="67"/>
  <c r="X18" i="67"/>
  <c r="Z41" i="67"/>
  <c r="H12" i="67"/>
  <c r="L15" i="67"/>
  <c r="Z45" i="67"/>
  <c r="X48" i="67"/>
  <c r="H12" i="69"/>
  <c r="Z15" i="69"/>
  <c r="Z19" i="69"/>
  <c r="N22" i="69"/>
  <c r="Z23" i="69"/>
  <c r="X27" i="69"/>
  <c r="L39" i="69"/>
  <c r="Z42" i="69"/>
  <c r="N85" i="69"/>
  <c r="N102" i="69"/>
  <c r="Z130" i="69"/>
  <c r="X138" i="69"/>
  <c r="L140" i="69"/>
  <c r="X144" i="69"/>
  <c r="R27" i="67"/>
  <c r="R52" i="67"/>
  <c r="R46" i="67"/>
  <c r="R43" i="67"/>
  <c r="R38" i="67"/>
  <c r="R35" i="67"/>
  <c r="R26" i="67"/>
  <c r="R21" i="67"/>
  <c r="R57" i="67"/>
  <c r="R50" i="67"/>
  <c r="R25" i="67"/>
  <c r="R23" i="67"/>
  <c r="P21" i="67"/>
  <c r="R45" i="67"/>
  <c r="R40" i="67"/>
  <c r="R37" i="67"/>
  <c r="R32" i="67"/>
  <c r="X12" i="67"/>
  <c r="R31" i="67"/>
  <c r="R24" i="67"/>
  <c r="R19" i="67"/>
  <c r="R54" i="67"/>
  <c r="R48" i="67"/>
  <c r="R29" i="67"/>
  <c r="R18" i="67"/>
  <c r="R44" i="67"/>
  <c r="R41" i="67"/>
  <c r="R36" i="67"/>
  <c r="R33" i="67"/>
  <c r="R28" i="67"/>
  <c r="R39" i="67"/>
  <c r="Z27" i="69"/>
  <c r="Z144" i="69"/>
  <c r="T143" i="69"/>
  <c r="D12" i="69"/>
  <c r="L16" i="69"/>
  <c r="N16" i="69" s="1"/>
  <c r="Z85" i="69"/>
  <c r="Z102" i="69"/>
  <c r="N116" i="69"/>
  <c r="L92" i="71"/>
  <c r="D91" i="71"/>
  <c r="L124" i="69"/>
  <c r="L136" i="69"/>
  <c r="N136" i="69" s="1"/>
  <c r="P12" i="70"/>
  <c r="Z46" i="70"/>
  <c r="X46" i="70"/>
  <c r="L71" i="71"/>
  <c r="N71" i="71" s="1"/>
  <c r="T12" i="70"/>
  <c r="N48" i="70"/>
  <c r="L48" i="70"/>
  <c r="Z54" i="70"/>
  <c r="X54" i="70"/>
  <c r="T12" i="67"/>
  <c r="L43" i="67"/>
  <c r="T12" i="69"/>
  <c r="N14" i="69"/>
  <c r="L119" i="69"/>
  <c r="P143" i="69"/>
  <c r="X143" i="69" s="1"/>
  <c r="Z20" i="70"/>
  <c r="X42" i="70"/>
  <c r="Z42" i="70" s="1"/>
  <c r="N52" i="70"/>
  <c r="N73" i="70"/>
  <c r="L73" i="70"/>
  <c r="Z26" i="71"/>
  <c r="N56" i="73"/>
  <c r="L56" i="73"/>
  <c r="X17" i="74"/>
  <c r="P44" i="74"/>
  <c r="N39" i="74"/>
  <c r="L39" i="74"/>
  <c r="T76" i="76"/>
  <c r="N15" i="70"/>
  <c r="N16" i="70"/>
  <c r="X17" i="70"/>
  <c r="Z17" i="70" s="1"/>
  <c r="Z32" i="70"/>
  <c r="X13" i="67"/>
  <c r="D12" i="70"/>
  <c r="Z19" i="70"/>
  <c r="X24" i="70"/>
  <c r="Z24" i="70" s="1"/>
  <c r="X14" i="69"/>
  <c r="Z14" i="69" s="1"/>
  <c r="L18" i="69"/>
  <c r="X22" i="69"/>
  <c r="L26" i="69"/>
  <c r="X30" i="69"/>
  <c r="Z30" i="69" s="1"/>
  <c r="L34" i="69"/>
  <c r="N34" i="69" s="1"/>
  <c r="X38" i="69"/>
  <c r="Z38" i="69" s="1"/>
  <c r="L42" i="69"/>
  <c r="X46" i="69"/>
  <c r="Z46" i="69" s="1"/>
  <c r="L50" i="69"/>
  <c r="X54" i="69"/>
  <c r="Z16" i="70"/>
  <c r="X16" i="70"/>
  <c r="N32" i="70"/>
  <c r="R20" i="79"/>
  <c r="D12" i="71"/>
  <c r="P12" i="71"/>
  <c r="N18" i="71"/>
  <c r="N52" i="71"/>
  <c r="N25" i="73"/>
  <c r="F32" i="73"/>
  <c r="L36" i="73"/>
  <c r="F45" i="73"/>
  <c r="Z49" i="73"/>
  <c r="R51" i="74"/>
  <c r="R44" i="74"/>
  <c r="R31" i="74"/>
  <c r="R28" i="74"/>
  <c r="R20" i="74"/>
  <c r="R15" i="74"/>
  <c r="R33" i="74"/>
  <c r="R30" i="74"/>
  <c r="R25" i="74"/>
  <c r="R14" i="74"/>
  <c r="R40" i="74"/>
  <c r="R39" i="74"/>
  <c r="R34" i="74"/>
  <c r="R32" i="74"/>
  <c r="R23" i="74"/>
  <c r="R38" i="74"/>
  <c r="R19" i="74"/>
  <c r="R37" i="74"/>
  <c r="R29" i="74"/>
  <c r="R48" i="74"/>
  <c r="R35" i="74"/>
  <c r="R17" i="74"/>
  <c r="R22" i="74"/>
  <c r="R42" i="74"/>
  <c r="R46" i="74"/>
  <c r="Z13" i="75"/>
  <c r="T12" i="75"/>
  <c r="J100" i="77"/>
  <c r="J92" i="77"/>
  <c r="J88" i="77"/>
  <c r="J84" i="77"/>
  <c r="J76" i="77"/>
  <c r="J68" i="77"/>
  <c r="J64" i="77"/>
  <c r="J52" i="77"/>
  <c r="J40" i="77"/>
  <c r="J105" i="77"/>
  <c r="J99" i="77"/>
  <c r="J95" i="77"/>
  <c r="J91" i="77"/>
  <c r="J87" i="77"/>
  <c r="J81" i="77"/>
  <c r="J73" i="77"/>
  <c r="J63" i="77"/>
  <c r="J59" i="77"/>
  <c r="H48" i="77"/>
  <c r="J48" i="77" s="1"/>
  <c r="J39" i="77"/>
  <c r="J102" i="77"/>
  <c r="J98" i="77"/>
  <c r="J94" i="77"/>
  <c r="J90" i="77"/>
  <c r="J86" i="77"/>
  <c r="J78" i="77"/>
  <c r="J70" i="77"/>
  <c r="J62" i="77"/>
  <c r="J58" i="77"/>
  <c r="J50" i="77"/>
  <c r="J46" i="77"/>
  <c r="J97" i="77"/>
  <c r="J83" i="77"/>
  <c r="J75" i="77"/>
  <c r="J67" i="77"/>
  <c r="J61" i="77"/>
  <c r="J57" i="77"/>
  <c r="J51" i="77"/>
  <c r="J45" i="77"/>
  <c r="J112" i="77"/>
  <c r="J106" i="77"/>
  <c r="J96" i="77"/>
  <c r="J82" i="77"/>
  <c r="J74" i="77"/>
  <c r="J66" i="77"/>
  <c r="J60" i="77"/>
  <c r="J54" i="77"/>
  <c r="J42" i="77"/>
  <c r="J108" i="77"/>
  <c r="J80" i="77"/>
  <c r="J38" i="77"/>
  <c r="J103" i="77"/>
  <c r="J89" i="77"/>
  <c r="J71" i="77"/>
  <c r="J43" i="77"/>
  <c r="J104" i="77"/>
  <c r="J72" i="77"/>
  <c r="J55" i="77"/>
  <c r="J44" i="77"/>
  <c r="J93" i="77"/>
  <c r="J65" i="77"/>
  <c r="J53" i="77"/>
  <c r="J69" i="77"/>
  <c r="J56" i="77"/>
  <c r="J41" i="77"/>
  <c r="J79" i="77"/>
  <c r="J77" i="77"/>
  <c r="L77" i="70"/>
  <c r="N77" i="70" s="1"/>
  <c r="X13" i="71"/>
  <c r="Z13" i="71" s="1"/>
  <c r="T12" i="71"/>
  <c r="X26" i="71"/>
  <c r="L30" i="71"/>
  <c r="N30" i="71" s="1"/>
  <c r="Z63" i="71"/>
  <c r="Z69" i="71"/>
  <c r="X69" i="71"/>
  <c r="N82" i="71"/>
  <c r="T12" i="73"/>
  <c r="Z26" i="73"/>
  <c r="F43" i="73"/>
  <c r="Z18" i="71"/>
  <c r="N86" i="71"/>
  <c r="N92" i="71"/>
  <c r="H91" i="71"/>
  <c r="F74" i="73"/>
  <c r="F56" i="73"/>
  <c r="F41" i="73"/>
  <c r="F36" i="73"/>
  <c r="F29" i="73"/>
  <c r="F71" i="73"/>
  <c r="F67" i="73"/>
  <c r="F52" i="73"/>
  <c r="F47" i="73"/>
  <c r="F44" i="73"/>
  <c r="F40" i="73"/>
  <c r="F28" i="73"/>
  <c r="F70" i="73"/>
  <c r="F58" i="73"/>
  <c r="F55" i="73"/>
  <c r="F39" i="73"/>
  <c r="F35" i="73"/>
  <c r="F27" i="73"/>
  <c r="F18" i="73"/>
  <c r="F66" i="73"/>
  <c r="F61" i="73"/>
  <c r="F54" i="73"/>
  <c r="F49" i="73"/>
  <c r="F46" i="73"/>
  <c r="F38" i="73"/>
  <c r="F34" i="73"/>
  <c r="F23" i="73"/>
  <c r="F65" i="73"/>
  <c r="F57" i="73"/>
  <c r="F37" i="73"/>
  <c r="F33" i="73"/>
  <c r="D23" i="73"/>
  <c r="F21" i="73"/>
  <c r="F63" i="73"/>
  <c r="F59" i="73"/>
  <c r="F31" i="73"/>
  <c r="F26" i="73"/>
  <c r="F25" i="73"/>
  <c r="F19" i="73"/>
  <c r="F20" i="73"/>
  <c r="Z25" i="73"/>
  <c r="F68" i="73"/>
  <c r="Z17" i="74"/>
  <c r="T44" i="74"/>
  <c r="R26" i="74"/>
  <c r="R27" i="74"/>
  <c r="Z35" i="74"/>
  <c r="J85" i="77"/>
  <c r="N68" i="81"/>
  <c r="L68" i="81"/>
  <c r="T76" i="70"/>
  <c r="N22" i="71"/>
  <c r="X25" i="71"/>
  <c r="L29" i="71"/>
  <c r="N29" i="71" s="1"/>
  <c r="X33" i="71"/>
  <c r="Z52" i="71"/>
  <c r="Z53" i="71"/>
  <c r="X53" i="71"/>
  <c r="Z20" i="74"/>
  <c r="L17" i="77"/>
  <c r="N17" i="77"/>
  <c r="Z18" i="77"/>
  <c r="L25" i="77"/>
  <c r="N25" i="77"/>
  <c r="X77" i="70"/>
  <c r="Z77" i="70" s="1"/>
  <c r="N14" i="71"/>
  <c r="X17" i="71"/>
  <c r="Z17" i="71" s="1"/>
  <c r="L19" i="71"/>
  <c r="N21" i="71"/>
  <c r="X80" i="71"/>
  <c r="Z80" i="71" s="1"/>
  <c r="P91" i="71"/>
  <c r="X91" i="71" s="1"/>
  <c r="Z91" i="71" s="1"/>
  <c r="X94" i="71"/>
  <c r="X15" i="73"/>
  <c r="F30" i="73"/>
  <c r="Z56" i="73"/>
  <c r="X69" i="73"/>
  <c r="X20" i="74"/>
  <c r="R24" i="74"/>
  <c r="X32" i="74"/>
  <c r="Z46" i="79"/>
  <c r="X46" i="79"/>
  <c r="N13" i="71"/>
  <c r="H12" i="71"/>
  <c r="Z22" i="71"/>
  <c r="L63" i="71"/>
  <c r="N63" i="71" s="1"/>
  <c r="Z94" i="71"/>
  <c r="L26" i="73"/>
  <c r="F48" i="73"/>
  <c r="F53" i="73"/>
  <c r="F62" i="73"/>
  <c r="F72" i="73"/>
  <c r="Z32" i="74"/>
  <c r="X22" i="76"/>
  <c r="Z22" i="76" s="1"/>
  <c r="X47" i="76"/>
  <c r="Z47" i="76" s="1"/>
  <c r="Z17" i="77"/>
  <c r="Z25" i="77"/>
  <c r="X25" i="77"/>
  <c r="J101" i="77"/>
  <c r="N65" i="70"/>
  <c r="Z71" i="70"/>
  <c r="Z14" i="71"/>
  <c r="N13" i="73"/>
  <c r="L13" i="73"/>
  <c r="H12" i="73"/>
  <c r="L69" i="73"/>
  <c r="V34" i="74"/>
  <c r="V30" i="74"/>
  <c r="V14" i="74"/>
  <c r="V48" i="74"/>
  <c r="V42" i="74"/>
  <c r="V36" i="74"/>
  <c r="V32" i="74"/>
  <c r="V24" i="74"/>
  <c r="Z12" i="74"/>
  <c r="V15" i="74"/>
  <c r="V20" i="74"/>
  <c r="V21" i="74"/>
  <c r="V22" i="74"/>
  <c r="Z26" i="74"/>
  <c r="V27" i="74"/>
  <c r="F38" i="74"/>
  <c r="V39" i="74"/>
  <c r="V46" i="74"/>
  <c r="V20" i="76"/>
  <c r="J23" i="76"/>
  <c r="F34" i="76"/>
  <c r="J45" i="76"/>
  <c r="V55" i="76"/>
  <c r="V66" i="76"/>
  <c r="X71" i="76"/>
  <c r="Z71" i="76" s="1"/>
  <c r="J80" i="76"/>
  <c r="X17" i="77"/>
  <c r="Z26" i="77"/>
  <c r="L35" i="77"/>
  <c r="N35" i="77"/>
  <c r="Z13" i="79"/>
  <c r="T12" i="79"/>
  <c r="X13" i="79"/>
  <c r="Z22" i="79"/>
  <c r="J28" i="79"/>
  <c r="J64" i="79"/>
  <c r="X19" i="74"/>
  <c r="Z19" i="74" s="1"/>
  <c r="N18" i="75"/>
  <c r="R77" i="79"/>
  <c r="R72" i="79"/>
  <c r="R57" i="79"/>
  <c r="R76" i="79"/>
  <c r="R73" i="79"/>
  <c r="R68" i="79"/>
  <c r="R60" i="79"/>
  <c r="R56" i="79"/>
  <c r="R69" i="79"/>
  <c r="R65" i="79"/>
  <c r="R61" i="79"/>
  <c r="R55" i="79"/>
  <c r="R54" i="79"/>
  <c r="R49" i="79"/>
  <c r="R46" i="79"/>
  <c r="R33" i="79"/>
  <c r="R29" i="79"/>
  <c r="R17" i="79"/>
  <c r="R80" i="79"/>
  <c r="R40" i="79"/>
  <c r="R37" i="79"/>
  <c r="R28" i="79"/>
  <c r="R78" i="79"/>
  <c r="R64" i="79"/>
  <c r="R51" i="79"/>
  <c r="R48" i="79"/>
  <c r="R32" i="79"/>
  <c r="R27" i="79"/>
  <c r="R16" i="79"/>
  <c r="R42" i="79"/>
  <c r="R39" i="79"/>
  <c r="R26" i="79"/>
  <c r="R74" i="79"/>
  <c r="R52" i="79"/>
  <c r="R47" i="79"/>
  <c r="R35" i="79"/>
  <c r="R31" i="79"/>
  <c r="R50" i="79"/>
  <c r="R62" i="79"/>
  <c r="R43" i="79"/>
  <c r="R18" i="79"/>
  <c r="R63" i="79"/>
  <c r="R53" i="79"/>
  <c r="R34" i="79"/>
  <c r="X12" i="79"/>
  <c r="R38" i="79"/>
  <c r="R30" i="79"/>
  <c r="R25" i="79"/>
  <c r="R24" i="79"/>
  <c r="P20" i="79"/>
  <c r="R41" i="79"/>
  <c r="R45" i="79"/>
  <c r="R85" i="79"/>
  <c r="P68" i="86"/>
  <c r="P12" i="73"/>
  <c r="F30" i="74"/>
  <c r="F27" i="74"/>
  <c r="F23" i="74"/>
  <c r="F14" i="74"/>
  <c r="F48" i="74"/>
  <c r="F42" i="74"/>
  <c r="F32" i="74"/>
  <c r="F29" i="74"/>
  <c r="F21" i="74"/>
  <c r="D17" i="74"/>
  <c r="F24" i="74"/>
  <c r="F26" i="74"/>
  <c r="V28" i="74"/>
  <c r="V29" i="74"/>
  <c r="F35" i="74"/>
  <c r="F44" i="74"/>
  <c r="L16" i="75"/>
  <c r="N16" i="75" s="1"/>
  <c r="L18" i="75"/>
  <c r="F42" i="76"/>
  <c r="F39" i="76"/>
  <c r="F27" i="76"/>
  <c r="F69" i="76"/>
  <c r="F66" i="76"/>
  <c r="F61" i="76"/>
  <c r="F53" i="76"/>
  <c r="F50" i="76"/>
  <c r="F45" i="76"/>
  <c r="F26" i="76"/>
  <c r="F65" i="76"/>
  <c r="F56" i="76"/>
  <c r="F41" i="76"/>
  <c r="F36" i="76"/>
  <c r="F32" i="76"/>
  <c r="F25" i="76"/>
  <c r="F71" i="76"/>
  <c r="F68" i="76"/>
  <c r="F64" i="76"/>
  <c r="F60" i="76"/>
  <c r="F52" i="76"/>
  <c r="F47" i="76"/>
  <c r="F44" i="76"/>
  <c r="F24" i="76"/>
  <c r="L12" i="76"/>
  <c r="F74" i="76"/>
  <c r="F57" i="76"/>
  <c r="F40" i="76"/>
  <c r="F37" i="76"/>
  <c r="F33" i="76"/>
  <c r="F29" i="76"/>
  <c r="F17" i="76"/>
  <c r="P12" i="76"/>
  <c r="D20" i="76"/>
  <c r="F22" i="76"/>
  <c r="F31" i="76"/>
  <c r="V38" i="76"/>
  <c r="F48" i="76"/>
  <c r="N49" i="76"/>
  <c r="L49" i="76"/>
  <c r="J51" i="76"/>
  <c r="N14" i="77"/>
  <c r="P12" i="77"/>
  <c r="X16" i="77"/>
  <c r="N60" i="77"/>
  <c r="N83" i="77"/>
  <c r="L83" i="77"/>
  <c r="R44" i="79"/>
  <c r="R59" i="79"/>
  <c r="R67" i="79"/>
  <c r="R70" i="79"/>
  <c r="R81" i="79"/>
  <c r="L43" i="73"/>
  <c r="X49" i="73"/>
  <c r="L51" i="73"/>
  <c r="X61" i="73"/>
  <c r="Z61" i="73" s="1"/>
  <c r="L19" i="74"/>
  <c r="N19" i="74" s="1"/>
  <c r="L37" i="74"/>
  <c r="V37" i="74"/>
  <c r="V38" i="74"/>
  <c r="F40" i="74"/>
  <c r="F46" i="74"/>
  <c r="F51" i="74"/>
  <c r="H12" i="75"/>
  <c r="N13" i="75"/>
  <c r="J83" i="76"/>
  <c r="J76" i="76"/>
  <c r="J66" i="76"/>
  <c r="J56" i="76"/>
  <c r="J50" i="76"/>
  <c r="J36" i="76"/>
  <c r="J32" i="76"/>
  <c r="J26" i="76"/>
  <c r="J16" i="76"/>
  <c r="J71" i="76"/>
  <c r="J65" i="76"/>
  <c r="J47" i="76"/>
  <c r="J41" i="76"/>
  <c r="J25" i="76"/>
  <c r="J68" i="76"/>
  <c r="J64" i="76"/>
  <c r="J60" i="76"/>
  <c r="J52" i="76"/>
  <c r="J44" i="76"/>
  <c r="J38" i="76"/>
  <c r="J24" i="76"/>
  <c r="J63" i="76"/>
  <c r="J59" i="76"/>
  <c r="J55" i="76"/>
  <c r="J49" i="76"/>
  <c r="J43" i="76"/>
  <c r="J35" i="76"/>
  <c r="J31" i="76"/>
  <c r="H20" i="76"/>
  <c r="J78" i="76"/>
  <c r="J72" i="76"/>
  <c r="J48" i="76"/>
  <c r="J42" i="76"/>
  <c r="J28" i="76"/>
  <c r="V70" i="76"/>
  <c r="V62" i="76"/>
  <c r="V58" i="76"/>
  <c r="V54" i="76"/>
  <c r="V46" i="76"/>
  <c r="V42" i="76"/>
  <c r="V34" i="76"/>
  <c r="V30" i="76"/>
  <c r="V18" i="76"/>
  <c r="V69" i="76"/>
  <c r="V61" i="76"/>
  <c r="V57" i="76"/>
  <c r="V53" i="76"/>
  <c r="V45" i="76"/>
  <c r="V37" i="76"/>
  <c r="V33" i="76"/>
  <c r="V29" i="76"/>
  <c r="V17" i="76"/>
  <c r="V83" i="76"/>
  <c r="V78" i="76"/>
  <c r="V76" i="76"/>
  <c r="V72" i="76"/>
  <c r="V56" i="76"/>
  <c r="V48" i="76"/>
  <c r="V36" i="76"/>
  <c r="V32" i="76"/>
  <c r="V28" i="76"/>
  <c r="V71" i="76"/>
  <c r="V47" i="76"/>
  <c r="V39" i="76"/>
  <c r="V27" i="76"/>
  <c r="V80" i="76"/>
  <c r="V74" i="76"/>
  <c r="V68" i="76"/>
  <c r="V64" i="76"/>
  <c r="V60" i="76"/>
  <c r="V52" i="76"/>
  <c r="V44" i="76"/>
  <c r="V40" i="76"/>
  <c r="V24" i="76"/>
  <c r="Z12" i="76"/>
  <c r="V23" i="76"/>
  <c r="L40" i="76"/>
  <c r="V43" i="76"/>
  <c r="V50" i="76"/>
  <c r="F62" i="76"/>
  <c r="F70" i="76"/>
  <c r="D12" i="77"/>
  <c r="Z15" i="77"/>
  <c r="Z16" i="77"/>
  <c r="L22" i="77"/>
  <c r="N23" i="79"/>
  <c r="L23" i="79"/>
  <c r="L53" i="81"/>
  <c r="N53" i="81" s="1"/>
  <c r="L17" i="87"/>
  <c r="N17" i="87" s="1"/>
  <c r="D25" i="87"/>
  <c r="D12" i="75"/>
  <c r="L13" i="75"/>
  <c r="N12" i="76"/>
  <c r="Z13" i="76"/>
  <c r="V16" i="76"/>
  <c r="J20" i="76"/>
  <c r="J22" i="76"/>
  <c r="J39" i="76"/>
  <c r="J62" i="76"/>
  <c r="V63" i="76"/>
  <c r="F67" i="76"/>
  <c r="J70" i="76"/>
  <c r="L13" i="78"/>
  <c r="D12" i="78"/>
  <c r="J73" i="79"/>
  <c r="J67" i="79"/>
  <c r="J63" i="79"/>
  <c r="J59" i="79"/>
  <c r="J55" i="79"/>
  <c r="J85" i="79"/>
  <c r="J77" i="79"/>
  <c r="J71" i="79"/>
  <c r="J57" i="79"/>
  <c r="J62" i="79"/>
  <c r="J50" i="79"/>
  <c r="J44" i="79"/>
  <c r="J36" i="79"/>
  <c r="J24" i="79"/>
  <c r="J20" i="79"/>
  <c r="N12" i="79"/>
  <c r="J90" i="79"/>
  <c r="J83" i="79"/>
  <c r="J74" i="79"/>
  <c r="J47" i="79"/>
  <c r="J41" i="79"/>
  <c r="J35" i="79"/>
  <c r="J31" i="79"/>
  <c r="H20" i="79"/>
  <c r="J87" i="79"/>
  <c r="J81" i="79"/>
  <c r="J70" i="79"/>
  <c r="J66" i="79"/>
  <c r="J58" i="79"/>
  <c r="J52" i="79"/>
  <c r="J38" i="79"/>
  <c r="J34" i="79"/>
  <c r="J30" i="79"/>
  <c r="J22" i="79"/>
  <c r="J18" i="79"/>
  <c r="J72" i="79"/>
  <c r="J69" i="79"/>
  <c r="J68" i="79"/>
  <c r="J65" i="79"/>
  <c r="J61" i="79"/>
  <c r="J60" i="79"/>
  <c r="J49" i="79"/>
  <c r="J43" i="79"/>
  <c r="J33" i="79"/>
  <c r="J29" i="79"/>
  <c r="J23" i="79"/>
  <c r="J17" i="79"/>
  <c r="J48" i="79"/>
  <c r="J42" i="79"/>
  <c r="J32" i="79"/>
  <c r="J26" i="79"/>
  <c r="J16" i="79"/>
  <c r="J39" i="79"/>
  <c r="J76" i="79"/>
  <c r="J40" i="79"/>
  <c r="J25" i="79"/>
  <c r="J78" i="79"/>
  <c r="J54" i="79"/>
  <c r="J53" i="79"/>
  <c r="L43" i="79"/>
  <c r="N43" i="79" s="1"/>
  <c r="R58" i="79"/>
  <c r="R66" i="79"/>
  <c r="J80" i="79"/>
  <c r="D32" i="80"/>
  <c r="L16" i="80"/>
  <c r="N28" i="81"/>
  <c r="X47" i="81"/>
  <c r="Z47" i="81" s="1"/>
  <c r="N66" i="86"/>
  <c r="H65" i="86"/>
  <c r="X74" i="73"/>
  <c r="N28" i="74"/>
  <c r="X13" i="75"/>
  <c r="P12" i="75"/>
  <c r="Z18" i="75"/>
  <c r="V26" i="76"/>
  <c r="J30" i="76"/>
  <c r="V31" i="76"/>
  <c r="F38" i="76"/>
  <c r="J40" i="76"/>
  <c r="V41" i="76"/>
  <c r="F46" i="76"/>
  <c r="F55" i="76"/>
  <c r="J61" i="76"/>
  <c r="J69" i="76"/>
  <c r="L13" i="77"/>
  <c r="X14" i="79"/>
  <c r="R23" i="79"/>
  <c r="T42" i="83"/>
  <c r="X13" i="76"/>
  <c r="N13" i="77"/>
  <c r="X18" i="77"/>
  <c r="N75" i="77"/>
  <c r="L75" i="77"/>
  <c r="N77" i="77"/>
  <c r="Z81" i="77"/>
  <c r="X81" i="77"/>
  <c r="Z96" i="77"/>
  <c r="N16" i="78"/>
  <c r="Z16" i="79"/>
  <c r="Z41" i="79"/>
  <c r="X41" i="79"/>
  <c r="Z48" i="79"/>
  <c r="R26" i="80"/>
  <c r="R23" i="80"/>
  <c r="R16" i="80"/>
  <c r="R34" i="80"/>
  <c r="R28" i="80"/>
  <c r="R25" i="80"/>
  <c r="R20" i="80"/>
  <c r="R18" i="80"/>
  <c r="P16" i="80"/>
  <c r="R14" i="80"/>
  <c r="R39" i="80"/>
  <c r="R30" i="80"/>
  <c r="R32" i="80"/>
  <c r="R19" i="80"/>
  <c r="R22" i="80"/>
  <c r="X18" i="80"/>
  <c r="Z18" i="80" s="1"/>
  <c r="L28" i="81"/>
  <c r="Z18" i="82"/>
  <c r="Z18" i="83"/>
  <c r="F44" i="84"/>
  <c r="F37" i="84"/>
  <c r="F29" i="84"/>
  <c r="F26" i="84"/>
  <c r="F21" i="84"/>
  <c r="F20" i="84"/>
  <c r="F31" i="84"/>
  <c r="F28" i="84"/>
  <c r="F23" i="84"/>
  <c r="F39" i="84"/>
  <c r="F33" i="84"/>
  <c r="F18" i="84"/>
  <c r="F35" i="84"/>
  <c r="F22" i="84"/>
  <c r="F24" i="84"/>
  <c r="F15" i="84"/>
  <c r="F41" i="84"/>
  <c r="D18" i="84"/>
  <c r="F25" i="84"/>
  <c r="F16" i="84"/>
  <c r="F27" i="84"/>
  <c r="Z38" i="85"/>
  <c r="V38" i="85"/>
  <c r="H17" i="74"/>
  <c r="J26" i="74"/>
  <c r="J40" i="74"/>
  <c r="J46" i="74"/>
  <c r="X13" i="77"/>
  <c r="Z13" i="77" s="1"/>
  <c r="T12" i="77"/>
  <c r="N21" i="77"/>
  <c r="L30" i="77"/>
  <c r="X34" i="77"/>
  <c r="Z34" i="77" s="1"/>
  <c r="X50" i="77"/>
  <c r="L51" i="77"/>
  <c r="N51" i="77" s="1"/>
  <c r="R32" i="78"/>
  <c r="R26" i="78"/>
  <c r="R23" i="78"/>
  <c r="R18" i="78"/>
  <c r="R17" i="78"/>
  <c r="R25" i="78"/>
  <c r="R28" i="78"/>
  <c r="R20" i="78"/>
  <c r="R16" i="78"/>
  <c r="P20" i="78"/>
  <c r="X22" i="78"/>
  <c r="J26" i="78"/>
  <c r="X28" i="78"/>
  <c r="J32" i="78"/>
  <c r="T32" i="80"/>
  <c r="Z16" i="80"/>
  <c r="L21" i="80"/>
  <c r="N21" i="80" s="1"/>
  <c r="R27" i="80"/>
  <c r="F66" i="81"/>
  <c r="F57" i="81"/>
  <c r="F53" i="81"/>
  <c r="F49" i="81"/>
  <c r="F46" i="81"/>
  <c r="F41" i="81"/>
  <c r="F38" i="81"/>
  <c r="F30" i="81"/>
  <c r="F26" i="81"/>
  <c r="D16" i="81"/>
  <c r="F79" i="81"/>
  <c r="F72" i="81"/>
  <c r="F60" i="81"/>
  <c r="F37" i="81"/>
  <c r="F29" i="81"/>
  <c r="F25" i="81"/>
  <c r="F69" i="81"/>
  <c r="F56" i="81"/>
  <c r="F52" i="81"/>
  <c r="F48" i="81"/>
  <c r="F43" i="81"/>
  <c r="F40" i="81"/>
  <c r="F24" i="81"/>
  <c r="F19" i="81"/>
  <c r="F18" i="81"/>
  <c r="L12" i="81"/>
  <c r="F76" i="81"/>
  <c r="F70" i="81"/>
  <c r="F61" i="81"/>
  <c r="F36" i="81"/>
  <c r="F33" i="81"/>
  <c r="F28" i="81"/>
  <c r="F21" i="81"/>
  <c r="F59" i="81"/>
  <c r="F45" i="81"/>
  <c r="F32" i="81"/>
  <c r="F31" i="81"/>
  <c r="F16" i="81"/>
  <c r="F74" i="81"/>
  <c r="F62" i="81"/>
  <c r="F50" i="81"/>
  <c r="F47" i="81"/>
  <c r="F64" i="81"/>
  <c r="F63" i="81"/>
  <c r="F65" i="81"/>
  <c r="F51" i="81"/>
  <c r="F34" i="81"/>
  <c r="F68" i="81"/>
  <c r="F55" i="81"/>
  <c r="F42" i="81"/>
  <c r="F23" i="81"/>
  <c r="F14" i="81"/>
  <c r="N45" i="81"/>
  <c r="F42" i="83"/>
  <c r="F32" i="83"/>
  <c r="F27" i="83"/>
  <c r="F24" i="83"/>
  <c r="F19" i="83"/>
  <c r="F18" i="83"/>
  <c r="L12" i="83"/>
  <c r="F36" i="83"/>
  <c r="F23" i="83"/>
  <c r="F14" i="83"/>
  <c r="F45" i="83"/>
  <c r="F31" i="83"/>
  <c r="F28" i="83"/>
  <c r="F20" i="83"/>
  <c r="F40" i="83"/>
  <c r="F38" i="83"/>
  <c r="F16" i="83"/>
  <c r="D16" i="83"/>
  <c r="F26" i="83"/>
  <c r="F25" i="83"/>
  <c r="F21" i="83"/>
  <c r="F34" i="83"/>
  <c r="F30" i="83"/>
  <c r="F33" i="83"/>
  <c r="D84" i="85"/>
  <c r="F84" i="85" s="1"/>
  <c r="L20" i="85"/>
  <c r="N21" i="90"/>
  <c r="L21" i="90"/>
  <c r="T30" i="78"/>
  <c r="H72" i="81"/>
  <c r="X20" i="84"/>
  <c r="Z20" i="84"/>
  <c r="R62" i="86"/>
  <c r="R54" i="86"/>
  <c r="R49" i="86"/>
  <c r="R37" i="86"/>
  <c r="R34" i="86"/>
  <c r="R25" i="86"/>
  <c r="R14" i="86"/>
  <c r="R70" i="86"/>
  <c r="R48" i="86"/>
  <c r="R45" i="86"/>
  <c r="R40" i="86"/>
  <c r="R29" i="86"/>
  <c r="R24" i="86"/>
  <c r="X12" i="86"/>
  <c r="R75" i="86"/>
  <c r="R68" i="86"/>
  <c r="R59" i="86"/>
  <c r="R51" i="86"/>
  <c r="R39" i="86"/>
  <c r="R36" i="86"/>
  <c r="R23" i="86"/>
  <c r="R56" i="86"/>
  <c r="R44" i="86"/>
  <c r="R41" i="86"/>
  <c r="R32" i="86"/>
  <c r="R28" i="86"/>
  <c r="R47" i="86"/>
  <c r="R55" i="86"/>
  <c r="R50" i="86"/>
  <c r="R43" i="86"/>
  <c r="R42" i="86"/>
  <c r="R26" i="86"/>
  <c r="R46" i="86"/>
  <c r="R27" i="86"/>
  <c r="R66" i="86"/>
  <c r="R65" i="86"/>
  <c r="R61" i="86"/>
  <c r="R60" i="86"/>
  <c r="R35" i="86"/>
  <c r="R17" i="86"/>
  <c r="R20" i="86"/>
  <c r="R22" i="86"/>
  <c r="R21" i="86"/>
  <c r="R53" i="86"/>
  <c r="R52" i="86"/>
  <c r="R33" i="86"/>
  <c r="R15" i="86"/>
  <c r="R38" i="86"/>
  <c r="R63" i="86"/>
  <c r="R58" i="86"/>
  <c r="R30" i="86"/>
  <c r="R72" i="86"/>
  <c r="F36" i="88"/>
  <c r="F30" i="88"/>
  <c r="F34" i="88"/>
  <c r="F20" i="88"/>
  <c r="F26" i="88"/>
  <c r="F23" i="88"/>
  <c r="F16" i="88"/>
  <c r="D16" i="88"/>
  <c r="F27" i="88"/>
  <c r="F22" i="88"/>
  <c r="F14" i="88"/>
  <c r="F39" i="88"/>
  <c r="F18" i="88"/>
  <c r="F24" i="88"/>
  <c r="F21" i="88"/>
  <c r="L12" i="88"/>
  <c r="F25" i="88"/>
  <c r="F19" i="88"/>
  <c r="F32" i="88"/>
  <c r="J22" i="74"/>
  <c r="J32" i="74"/>
  <c r="J38" i="74"/>
  <c r="J42" i="74"/>
  <c r="N19" i="77"/>
  <c r="X33" i="77"/>
  <c r="Z33" i="77" s="1"/>
  <c r="N38" i="77"/>
  <c r="Z60" i="77"/>
  <c r="L96" i="77"/>
  <c r="N96" i="77" s="1"/>
  <c r="V32" i="78"/>
  <c r="V30" i="78"/>
  <c r="V26" i="78"/>
  <c r="V18" i="78"/>
  <c r="V25" i="78"/>
  <c r="V17" i="78"/>
  <c r="V16" i="78"/>
  <c r="V24" i="78"/>
  <c r="Z12" i="78"/>
  <c r="X14" i="78"/>
  <c r="Z14" i="78" s="1"/>
  <c r="V20" i="78"/>
  <c r="R22" i="78"/>
  <c r="V28" i="78"/>
  <c r="L16" i="79"/>
  <c r="N16" i="79" s="1"/>
  <c r="N22" i="79"/>
  <c r="L46" i="79"/>
  <c r="L48" i="79"/>
  <c r="X57" i="79"/>
  <c r="Z57" i="79" s="1"/>
  <c r="R21" i="80"/>
  <c r="R36" i="80"/>
  <c r="N16" i="81"/>
  <c r="Z34" i="81"/>
  <c r="F58" i="81"/>
  <c r="J25" i="82"/>
  <c r="J19" i="82"/>
  <c r="J24" i="82"/>
  <c r="J14" i="82"/>
  <c r="N12" i="82"/>
  <c r="J37" i="82"/>
  <c r="J31" i="82"/>
  <c r="J27" i="82"/>
  <c r="J21" i="82"/>
  <c r="J26" i="82"/>
  <c r="J20" i="82"/>
  <c r="J16" i="82"/>
  <c r="J40" i="82"/>
  <c r="J33" i="82"/>
  <c r="J23" i="82"/>
  <c r="J18" i="82"/>
  <c r="H16" i="82"/>
  <c r="J22" i="82"/>
  <c r="P16" i="82"/>
  <c r="X14" i="82"/>
  <c r="X18" i="82"/>
  <c r="J29" i="82"/>
  <c r="F22" i="83"/>
  <c r="N34" i="91"/>
  <c r="L34" i="91"/>
  <c r="T12" i="92"/>
  <c r="X13" i="92"/>
  <c r="Z13" i="92" s="1"/>
  <c r="L14" i="77"/>
  <c r="L50" i="77"/>
  <c r="N50" i="77" s="1"/>
  <c r="Z50" i="77"/>
  <c r="Z51" i="77"/>
  <c r="N67" i="77"/>
  <c r="L67" i="77"/>
  <c r="N69" i="77"/>
  <c r="Z73" i="77"/>
  <c r="X73" i="77"/>
  <c r="N101" i="77"/>
  <c r="Z105" i="77"/>
  <c r="J16" i="78"/>
  <c r="J28" i="78"/>
  <c r="J24" i="78"/>
  <c r="J20" i="78"/>
  <c r="H20" i="78"/>
  <c r="J17" i="78"/>
  <c r="L22" i="78"/>
  <c r="L81" i="79"/>
  <c r="D80" i="79"/>
  <c r="F20" i="81"/>
  <c r="X47" i="85"/>
  <c r="Z47" i="85" s="1"/>
  <c r="R31" i="86"/>
  <c r="Z73" i="79"/>
  <c r="V25" i="80"/>
  <c r="V39" i="80"/>
  <c r="V34" i="80"/>
  <c r="V32" i="80"/>
  <c r="V28" i="80"/>
  <c r="V20" i="80"/>
  <c r="V27" i="80"/>
  <c r="V19" i="80"/>
  <c r="V36" i="80"/>
  <c r="V30" i="80"/>
  <c r="V24" i="80"/>
  <c r="Z12" i="80"/>
  <c r="V16" i="80"/>
  <c r="N25" i="80"/>
  <c r="V25" i="81"/>
  <c r="V34" i="81"/>
  <c r="J38" i="81"/>
  <c r="V50" i="81"/>
  <c r="J57" i="81"/>
  <c r="J58" i="81"/>
  <c r="J60" i="81"/>
  <c r="X62" i="81"/>
  <c r="Z62" i="81" s="1"/>
  <c r="V65" i="81"/>
  <c r="L70" i="81"/>
  <c r="F40" i="82"/>
  <c r="F33" i="82"/>
  <c r="F22" i="82"/>
  <c r="D16" i="82"/>
  <c r="F28" i="82"/>
  <c r="F25" i="82"/>
  <c r="F24" i="82"/>
  <c r="F19" i="82"/>
  <c r="F18" i="82"/>
  <c r="L12" i="82"/>
  <c r="F35" i="82"/>
  <c r="F29" i="82"/>
  <c r="F23" i="82"/>
  <c r="F20" i="82"/>
  <c r="V16" i="82"/>
  <c r="F26" i="82"/>
  <c r="X18" i="83"/>
  <c r="X22" i="85"/>
  <c r="Z22" i="85" s="1"/>
  <c r="Z19" i="86"/>
  <c r="N24" i="88"/>
  <c r="L24" i="88"/>
  <c r="N30" i="88"/>
  <c r="H29" i="88"/>
  <c r="N29" i="88" s="1"/>
  <c r="L31" i="83"/>
  <c r="V39" i="84"/>
  <c r="V33" i="84"/>
  <c r="V29" i="84"/>
  <c r="V21" i="84"/>
  <c r="V32" i="84"/>
  <c r="V24" i="84"/>
  <c r="V31" i="84"/>
  <c r="V23" i="84"/>
  <c r="V15" i="84"/>
  <c r="V28" i="84"/>
  <c r="V20" i="84"/>
  <c r="V26" i="84"/>
  <c r="T18" i="84"/>
  <c r="V16" i="84"/>
  <c r="V27" i="84"/>
  <c r="V22" i="84"/>
  <c r="V25" i="84"/>
  <c r="N15" i="84"/>
  <c r="N35" i="84"/>
  <c r="L35" i="84"/>
  <c r="X38" i="85"/>
  <c r="N49" i="85"/>
  <c r="L60" i="85"/>
  <c r="N60" i="85"/>
  <c r="T25" i="87"/>
  <c r="L23" i="87"/>
  <c r="N23" i="87"/>
  <c r="J23" i="87"/>
  <c r="Z46" i="92"/>
  <c r="D12" i="79"/>
  <c r="N81" i="79"/>
  <c r="H80" i="79"/>
  <c r="N80" i="79" s="1"/>
  <c r="F14" i="80"/>
  <c r="V21" i="80"/>
  <c r="Z27" i="80"/>
  <c r="J39" i="80"/>
  <c r="J69" i="81"/>
  <c r="J43" i="81"/>
  <c r="J37" i="81"/>
  <c r="J29" i="81"/>
  <c r="J25" i="81"/>
  <c r="J19" i="81"/>
  <c r="J62" i="81"/>
  <c r="J56" i="81"/>
  <c r="J52" i="81"/>
  <c r="J48" i="81"/>
  <c r="J40" i="81"/>
  <c r="J34" i="81"/>
  <c r="J24" i="81"/>
  <c r="J14" i="81"/>
  <c r="N12" i="81"/>
  <c r="J65" i="81"/>
  <c r="J59" i="81"/>
  <c r="J55" i="81"/>
  <c r="J51" i="81"/>
  <c r="J45" i="81"/>
  <c r="J23" i="81"/>
  <c r="J74" i="81"/>
  <c r="J68" i="81"/>
  <c r="J64" i="81"/>
  <c r="J44" i="81"/>
  <c r="J32" i="81"/>
  <c r="J20" i="81"/>
  <c r="J16" i="81"/>
  <c r="X14" i="81"/>
  <c r="Z18" i="81"/>
  <c r="X19" i="81"/>
  <c r="J22" i="81"/>
  <c r="J26" i="81"/>
  <c r="J28" i="81"/>
  <c r="V30" i="81"/>
  <c r="J35" i="81"/>
  <c r="N36" i="81"/>
  <c r="V38" i="81"/>
  <c r="X43" i="81"/>
  <c r="Z43" i="81" s="1"/>
  <c r="V45" i="81"/>
  <c r="V47" i="81"/>
  <c r="J53" i="81"/>
  <c r="J54" i="81"/>
  <c r="V58" i="81"/>
  <c r="J66" i="81"/>
  <c r="V40" i="82"/>
  <c r="V35" i="82"/>
  <c r="V33" i="82"/>
  <c r="V29" i="82"/>
  <c r="T16" i="82"/>
  <c r="V28" i="82"/>
  <c r="V20" i="82"/>
  <c r="V19" i="82"/>
  <c r="V24" i="82"/>
  <c r="Z12" i="82"/>
  <c r="V27" i="82"/>
  <c r="V23" i="82"/>
  <c r="V14" i="82"/>
  <c r="V18" i="82"/>
  <c r="Z19" i="82"/>
  <c r="L21" i="82"/>
  <c r="X14" i="83"/>
  <c r="L18" i="83"/>
  <c r="N18" i="83" s="1"/>
  <c r="X36" i="83"/>
  <c r="L13" i="84"/>
  <c r="X13" i="85"/>
  <c r="Z13" i="85" s="1"/>
  <c r="P12" i="85"/>
  <c r="N19" i="88"/>
  <c r="L19" i="88"/>
  <c r="Z15" i="90"/>
  <c r="X15" i="90"/>
  <c r="N18" i="80"/>
  <c r="J30" i="80"/>
  <c r="V18" i="81"/>
  <c r="V23" i="81"/>
  <c r="V29" i="81"/>
  <c r="X39" i="81"/>
  <c r="V42" i="81"/>
  <c r="N65" i="81"/>
  <c r="X69" i="81"/>
  <c r="Z69" i="81" s="1"/>
  <c r="J76" i="81"/>
  <c r="N18" i="82"/>
  <c r="F21" i="82"/>
  <c r="V25" i="82"/>
  <c r="L31" i="82"/>
  <c r="R21" i="83"/>
  <c r="R16" i="83"/>
  <c r="R45" i="83"/>
  <c r="R33" i="83"/>
  <c r="R28" i="83"/>
  <c r="R25" i="83"/>
  <c r="R20" i="83"/>
  <c r="R18" i="83"/>
  <c r="P16" i="83"/>
  <c r="R42" i="83"/>
  <c r="R38" i="83"/>
  <c r="R32" i="83"/>
  <c r="R29" i="83"/>
  <c r="R24" i="83"/>
  <c r="X12" i="83"/>
  <c r="R23" i="83"/>
  <c r="R14" i="83"/>
  <c r="R34" i="83"/>
  <c r="R36" i="83"/>
  <c r="R40" i="83"/>
  <c r="N13" i="84"/>
  <c r="H12" i="84"/>
  <c r="X15" i="84"/>
  <c r="Z15" i="84" s="1"/>
  <c r="V35" i="84"/>
  <c r="N19" i="89"/>
  <c r="L19" i="89"/>
  <c r="X54" i="79"/>
  <c r="Z54" i="79" s="1"/>
  <c r="F25" i="80"/>
  <c r="F22" i="80"/>
  <c r="F39" i="80"/>
  <c r="F32" i="80"/>
  <c r="F27" i="80"/>
  <c r="F24" i="80"/>
  <c r="F19" i="80"/>
  <c r="F18" i="80"/>
  <c r="L12" i="80"/>
  <c r="F36" i="80"/>
  <c r="F30" i="80"/>
  <c r="F23" i="80"/>
  <c r="F28" i="80"/>
  <c r="H36" i="80"/>
  <c r="V61" i="81"/>
  <c r="V57" i="81"/>
  <c r="V53" i="81"/>
  <c r="V49" i="81"/>
  <c r="V41" i="81"/>
  <c r="V33" i="81"/>
  <c r="V21" i="81"/>
  <c r="T16" i="81"/>
  <c r="V79" i="81"/>
  <c r="V74" i="81"/>
  <c r="V72" i="81"/>
  <c r="V64" i="81"/>
  <c r="V60" i="81"/>
  <c r="V44" i="81"/>
  <c r="V32" i="81"/>
  <c r="V20" i="81"/>
  <c r="V69" i="81"/>
  <c r="V63" i="81"/>
  <c r="V43" i="81"/>
  <c r="V35" i="81"/>
  <c r="V31" i="81"/>
  <c r="V27" i="81"/>
  <c r="V19" i="81"/>
  <c r="V76" i="81"/>
  <c r="V70" i="81"/>
  <c r="V56" i="81"/>
  <c r="V52" i="81"/>
  <c r="V48" i="81"/>
  <c r="V40" i="81"/>
  <c r="V36" i="81"/>
  <c r="V28" i="81"/>
  <c r="V24" i="81"/>
  <c r="Z12" i="81"/>
  <c r="V14" i="81"/>
  <c r="Z19" i="81"/>
  <c r="V22" i="81"/>
  <c r="V37" i="81"/>
  <c r="L45" i="81"/>
  <c r="V54" i="81"/>
  <c r="J63" i="81"/>
  <c r="V68" i="81"/>
  <c r="F31" i="82"/>
  <c r="R22" i="83"/>
  <c r="X29" i="83"/>
  <c r="R30" i="83"/>
  <c r="R31" i="83"/>
  <c r="L29" i="84"/>
  <c r="N29" i="84"/>
  <c r="V30" i="84"/>
  <c r="L22" i="85"/>
  <c r="N22" i="85" s="1"/>
  <c r="L65" i="85"/>
  <c r="N65" i="85" s="1"/>
  <c r="X13" i="87"/>
  <c r="Z13" i="87" s="1"/>
  <c r="P12" i="87"/>
  <c r="H25" i="87"/>
  <c r="T52" i="91"/>
  <c r="X77" i="79"/>
  <c r="Z77" i="79" s="1"/>
  <c r="X80" i="79"/>
  <c r="J27" i="80"/>
  <c r="J24" i="80"/>
  <c r="J14" i="80"/>
  <c r="N12" i="80"/>
  <c r="J21" i="80"/>
  <c r="J34" i="80"/>
  <c r="J28" i="80"/>
  <c r="J20" i="80"/>
  <c r="J16" i="80"/>
  <c r="N16" i="80"/>
  <c r="F21" i="80"/>
  <c r="J22" i="80"/>
  <c r="F26" i="80"/>
  <c r="J36" i="80"/>
  <c r="X12" i="81"/>
  <c r="N18" i="81"/>
  <c r="V26" i="81"/>
  <c r="X34" i="81"/>
  <c r="V39" i="81"/>
  <c r="J46" i="81"/>
  <c r="J49" i="81"/>
  <c r="J50" i="81"/>
  <c r="V66" i="81"/>
  <c r="T68" i="81"/>
  <c r="F37" i="82"/>
  <c r="Z29" i="83"/>
  <c r="N20" i="84"/>
  <c r="Z23" i="84"/>
  <c r="X23" i="84"/>
  <c r="L47" i="85"/>
  <c r="X34" i="86"/>
  <c r="V16" i="83"/>
  <c r="V18" i="83"/>
  <c r="V22" i="83"/>
  <c r="V26" i="83"/>
  <c r="V34" i="83"/>
  <c r="F58" i="85"/>
  <c r="V73" i="85"/>
  <c r="V77" i="85"/>
  <c r="F75" i="86"/>
  <c r="F68" i="86"/>
  <c r="F61" i="86"/>
  <c r="F57" i="86"/>
  <c r="F53" i="86"/>
  <c r="F36" i="86"/>
  <c r="F33" i="86"/>
  <c r="F21" i="86"/>
  <c r="F65" i="86"/>
  <c r="F56" i="86"/>
  <c r="F47" i="86"/>
  <c r="F44" i="86"/>
  <c r="F32" i="86"/>
  <c r="F28" i="86"/>
  <c r="F17" i="86"/>
  <c r="F63" i="86"/>
  <c r="F55" i="86"/>
  <c r="F50" i="86"/>
  <c r="F38" i="86"/>
  <c r="F35" i="86"/>
  <c r="F31" i="86"/>
  <c r="F27" i="86"/>
  <c r="D17" i="86"/>
  <c r="F15" i="86"/>
  <c r="F70" i="86"/>
  <c r="F48" i="86"/>
  <c r="F43" i="86"/>
  <c r="F40" i="86"/>
  <c r="F24" i="86"/>
  <c r="L12" i="86"/>
  <c r="X19" i="86"/>
  <c r="F20" i="86"/>
  <c r="F30" i="86"/>
  <c r="F45" i="86"/>
  <c r="F49" i="86"/>
  <c r="F51" i="86"/>
  <c r="F72" i="86"/>
  <c r="V54" i="90"/>
  <c r="V49" i="90"/>
  <c r="V47" i="90"/>
  <c r="V43" i="90"/>
  <c r="V31" i="90"/>
  <c r="V15" i="90"/>
  <c r="V37" i="90"/>
  <c r="V33" i="90"/>
  <c r="V25" i="90"/>
  <c r="V36" i="90"/>
  <c r="V28" i="90"/>
  <c r="V24" i="90"/>
  <c r="V41" i="90"/>
  <c r="V29" i="90"/>
  <c r="V21" i="90"/>
  <c r="V51" i="90"/>
  <c r="V27" i="90"/>
  <c r="V42" i="90"/>
  <c r="V40" i="90"/>
  <c r="V26" i="90"/>
  <c r="Z12" i="90"/>
  <c r="V45" i="90"/>
  <c r="V20" i="90"/>
  <c r="V34" i="90"/>
  <c r="T18" i="90"/>
  <c r="V16" i="90"/>
  <c r="V39" i="90"/>
  <c r="V23" i="90"/>
  <c r="V30" i="90"/>
  <c r="V18" i="90"/>
  <c r="V38" i="90"/>
  <c r="R14" i="81"/>
  <c r="R25" i="81"/>
  <c r="R29" i="81"/>
  <c r="R34" i="81"/>
  <c r="R37" i="81"/>
  <c r="R62" i="81"/>
  <c r="R14" i="82"/>
  <c r="R25" i="82"/>
  <c r="H16" i="83"/>
  <c r="V23" i="83"/>
  <c r="J25" i="83"/>
  <c r="V31" i="83"/>
  <c r="J33" i="83"/>
  <c r="J38" i="83"/>
  <c r="J42" i="83"/>
  <c r="V82" i="85"/>
  <c r="V76" i="85"/>
  <c r="V68" i="85"/>
  <c r="V60" i="85"/>
  <c r="V52" i="85"/>
  <c r="V40" i="85"/>
  <c r="V32" i="85"/>
  <c r="V28" i="85"/>
  <c r="V16" i="85"/>
  <c r="V79" i="85"/>
  <c r="V67" i="85"/>
  <c r="V51" i="85"/>
  <c r="V43" i="85"/>
  <c r="V27" i="85"/>
  <c r="V78" i="85"/>
  <c r="V54" i="85"/>
  <c r="V46" i="85"/>
  <c r="V42" i="85"/>
  <c r="V26" i="85"/>
  <c r="V22" i="85"/>
  <c r="V20" i="85"/>
  <c r="V81" i="85"/>
  <c r="V75" i="85"/>
  <c r="V71" i="85"/>
  <c r="V63" i="85"/>
  <c r="V59" i="85"/>
  <c r="V55" i="85"/>
  <c r="V47" i="85"/>
  <c r="V39" i="85"/>
  <c r="V35" i="85"/>
  <c r="V31" i="85"/>
  <c r="V23" i="85"/>
  <c r="Z14" i="85"/>
  <c r="N23" i="85"/>
  <c r="V25" i="85"/>
  <c r="V30" i="85"/>
  <c r="V37" i="85"/>
  <c r="X42" i="85"/>
  <c r="Z42" i="85" s="1"/>
  <c r="V44" i="85"/>
  <c r="F49" i="85"/>
  <c r="F53" i="85"/>
  <c r="N55" i="85"/>
  <c r="F70" i="85"/>
  <c r="V72" i="85"/>
  <c r="Z78" i="85"/>
  <c r="J56" i="86"/>
  <c r="J50" i="86"/>
  <c r="J44" i="86"/>
  <c r="J38" i="86"/>
  <c r="J32" i="86"/>
  <c r="J28" i="86"/>
  <c r="H17" i="86"/>
  <c r="J63" i="86"/>
  <c r="J55" i="86"/>
  <c r="J41" i="86"/>
  <c r="J35" i="86"/>
  <c r="J31" i="86"/>
  <c r="J27" i="86"/>
  <c r="J19" i="86"/>
  <c r="J15" i="86"/>
  <c r="J72" i="86"/>
  <c r="J66" i="86"/>
  <c r="J60" i="86"/>
  <c r="J52" i="86"/>
  <c r="J46" i="86"/>
  <c r="J30" i="86"/>
  <c r="J26" i="86"/>
  <c r="J20" i="86"/>
  <c r="J59" i="86"/>
  <c r="J51" i="86"/>
  <c r="J45" i="86"/>
  <c r="J39" i="86"/>
  <c r="J29" i="86"/>
  <c r="J23" i="86"/>
  <c r="F42" i="86"/>
  <c r="L43" i="86"/>
  <c r="F46" i="86"/>
  <c r="J49" i="86"/>
  <c r="F54" i="86"/>
  <c r="V27" i="87"/>
  <c r="V23" i="87"/>
  <c r="V19" i="87"/>
  <c r="V15" i="87"/>
  <c r="V17" i="87"/>
  <c r="V20" i="87"/>
  <c r="P32" i="88"/>
  <c r="P16" i="81"/>
  <c r="R18" i="81"/>
  <c r="R20" i="81"/>
  <c r="R32" i="81"/>
  <c r="R41" i="81"/>
  <c r="R44" i="81"/>
  <c r="R49" i="81"/>
  <c r="R53" i="81"/>
  <c r="R57" i="81"/>
  <c r="R64" i="81"/>
  <c r="R74" i="81"/>
  <c r="R33" i="82"/>
  <c r="R40" i="82"/>
  <c r="V14" i="83"/>
  <c r="J22" i="83"/>
  <c r="J26" i="83"/>
  <c r="V30" i="83"/>
  <c r="J34" i="83"/>
  <c r="V36" i="83"/>
  <c r="V40" i="83"/>
  <c r="N25" i="84"/>
  <c r="L25" i="84"/>
  <c r="F26" i="85"/>
  <c r="F27" i="85"/>
  <c r="F33" i="85"/>
  <c r="F44" i="85"/>
  <c r="V58" i="85"/>
  <c r="F74" i="85"/>
  <c r="F77" i="85"/>
  <c r="F19" i="86"/>
  <c r="Z38" i="86"/>
  <c r="R33" i="91"/>
  <c r="R30" i="91"/>
  <c r="R21" i="91"/>
  <c r="R16" i="91"/>
  <c r="R55" i="91"/>
  <c r="R48" i="91"/>
  <c r="R35" i="91"/>
  <c r="R32" i="91"/>
  <c r="R27" i="91"/>
  <c r="R43" i="91"/>
  <c r="R38" i="91"/>
  <c r="R26" i="91"/>
  <c r="R19" i="91"/>
  <c r="R52" i="91"/>
  <c r="R46" i="91"/>
  <c r="R36" i="91"/>
  <c r="R31" i="91"/>
  <c r="R28" i="91"/>
  <c r="R23" i="91"/>
  <c r="R18" i="91"/>
  <c r="R22" i="91"/>
  <c r="X12" i="91"/>
  <c r="R44" i="91"/>
  <c r="R29" i="91"/>
  <c r="R24" i="91"/>
  <c r="R14" i="91"/>
  <c r="R40" i="91"/>
  <c r="R39" i="91"/>
  <c r="R37" i="91"/>
  <c r="R20" i="91"/>
  <c r="P16" i="91"/>
  <c r="R50" i="91"/>
  <c r="R34" i="91"/>
  <c r="R41" i="91"/>
  <c r="R16" i="81"/>
  <c r="R21" i="81"/>
  <c r="R33" i="81"/>
  <c r="R61" i="81"/>
  <c r="R68" i="81"/>
  <c r="R16" i="82"/>
  <c r="R26" i="82"/>
  <c r="R29" i="82"/>
  <c r="R35" i="82"/>
  <c r="V19" i="83"/>
  <c r="J23" i="83"/>
  <c r="V27" i="83"/>
  <c r="J29" i="83"/>
  <c r="P12" i="84"/>
  <c r="X13" i="84"/>
  <c r="Z13" i="84" s="1"/>
  <c r="F30" i="85"/>
  <c r="N44" i="85"/>
  <c r="V48" i="85"/>
  <c r="Z53" i="85"/>
  <c r="V57" i="85"/>
  <c r="V70" i="85"/>
  <c r="J17" i="86"/>
  <c r="J24" i="86"/>
  <c r="F34" i="86"/>
  <c r="X41" i="86"/>
  <c r="Z45" i="86"/>
  <c r="L60" i="86"/>
  <c r="L66" i="86"/>
  <c r="J17" i="87"/>
  <c r="L14" i="89"/>
  <c r="P30" i="89"/>
  <c r="X16" i="89"/>
  <c r="N16" i="91"/>
  <c r="H48" i="91"/>
  <c r="P12" i="92"/>
  <c r="R22" i="81"/>
  <c r="R39" i="81"/>
  <c r="R42" i="81"/>
  <c r="R47" i="81"/>
  <c r="R50" i="81"/>
  <c r="R54" i="81"/>
  <c r="N12" i="83"/>
  <c r="J14" i="83"/>
  <c r="V20" i="83"/>
  <c r="J24" i="83"/>
  <c r="V28" i="83"/>
  <c r="J32" i="83"/>
  <c r="J36" i="83"/>
  <c r="V38" i="83"/>
  <c r="X31" i="84"/>
  <c r="Z31" i="84" s="1"/>
  <c r="F82" i="85"/>
  <c r="F76" i="85"/>
  <c r="F73" i="85"/>
  <c r="F60" i="85"/>
  <c r="F45" i="85"/>
  <c r="F40" i="85"/>
  <c r="F37" i="85"/>
  <c r="F32" i="85"/>
  <c r="F25" i="85"/>
  <c r="F16" i="85"/>
  <c r="F86" i="85"/>
  <c r="F72" i="85"/>
  <c r="F67" i="85"/>
  <c r="F64" i="85"/>
  <c r="F56" i="85"/>
  <c r="F51" i="85"/>
  <c r="F48" i="85"/>
  <c r="F36" i="85"/>
  <c r="F24" i="85"/>
  <c r="L12" i="85"/>
  <c r="F78" i="85"/>
  <c r="F75" i="85"/>
  <c r="F71" i="85"/>
  <c r="F63" i="85"/>
  <c r="F59" i="85"/>
  <c r="F42" i="85"/>
  <c r="F39" i="85"/>
  <c r="F35" i="85"/>
  <c r="F31" i="85"/>
  <c r="F20" i="85"/>
  <c r="F81" i="85"/>
  <c r="F68" i="85"/>
  <c r="F55" i="85"/>
  <c r="F52" i="85"/>
  <c r="F47" i="85"/>
  <c r="F28" i="85"/>
  <c r="F23" i="85"/>
  <c r="F22" i="85"/>
  <c r="T84" i="85"/>
  <c r="V84" i="85" s="1"/>
  <c r="V34" i="85"/>
  <c r="F38" i="85"/>
  <c r="F41" i="85"/>
  <c r="Z49" i="85"/>
  <c r="V50" i="85"/>
  <c r="V53" i="85"/>
  <c r="F62" i="85"/>
  <c r="V64" i="85"/>
  <c r="V69" i="85"/>
  <c r="N76" i="85"/>
  <c r="X82" i="85"/>
  <c r="F14" i="86"/>
  <c r="Z14" i="86"/>
  <c r="F37" i="86"/>
  <c r="F39" i="86"/>
  <c r="L52" i="86"/>
  <c r="X54" i="86"/>
  <c r="F60" i="86"/>
  <c r="J61" i="86"/>
  <c r="F62" i="86"/>
  <c r="Z62" i="86"/>
  <c r="J65" i="86"/>
  <c r="F66" i="86"/>
  <c r="J68" i="86"/>
  <c r="F27" i="87"/>
  <c r="F23" i="87"/>
  <c r="F21" i="87"/>
  <c r="F19" i="87"/>
  <c r="F15" i="87"/>
  <c r="L12" i="87"/>
  <c r="N12" i="87" s="1"/>
  <c r="F25" i="87"/>
  <c r="F17" i="87"/>
  <c r="F32" i="87"/>
  <c r="T16" i="88"/>
  <c r="X16" i="88" s="1"/>
  <c r="Z14" i="88"/>
  <c r="X14" i="88"/>
  <c r="Z36" i="91"/>
  <c r="J27" i="85"/>
  <c r="J43" i="85"/>
  <c r="J49" i="85"/>
  <c r="J57" i="85"/>
  <c r="J65" i="85"/>
  <c r="J79" i="85"/>
  <c r="V15" i="86"/>
  <c r="V27" i="86"/>
  <c r="V31" i="86"/>
  <c r="V35" i="86"/>
  <c r="V43" i="86"/>
  <c r="V55" i="86"/>
  <c r="V63" i="86"/>
  <c r="J27" i="87"/>
  <c r="L22" i="88"/>
  <c r="Z14" i="89"/>
  <c r="F19" i="89"/>
  <c r="Z25" i="89"/>
  <c r="L31" i="90"/>
  <c r="N31" i="90" s="1"/>
  <c r="N34" i="92"/>
  <c r="L52" i="92"/>
  <c r="N52" i="92" s="1"/>
  <c r="J18" i="85"/>
  <c r="J22" i="85"/>
  <c r="J30" i="85"/>
  <c r="J34" i="85"/>
  <c r="J44" i="85"/>
  <c r="J50" i="85"/>
  <c r="J58" i="85"/>
  <c r="J62" i="85"/>
  <c r="J66" i="85"/>
  <c r="J70" i="85"/>
  <c r="J84" i="85"/>
  <c r="J91" i="85"/>
  <c r="T17" i="86"/>
  <c r="V22" i="86"/>
  <c r="V38" i="86"/>
  <c r="V42" i="86"/>
  <c r="V50" i="86"/>
  <c r="V58" i="86"/>
  <c r="J25" i="87"/>
  <c r="J20" i="87"/>
  <c r="L18" i="88"/>
  <c r="N18" i="88" s="1"/>
  <c r="F23" i="89"/>
  <c r="F20" i="89"/>
  <c r="F16" i="89"/>
  <c r="F25" i="89"/>
  <c r="F22" i="89"/>
  <c r="D16" i="89"/>
  <c r="F34" i="89"/>
  <c r="F32" i="89"/>
  <c r="F28" i="89"/>
  <c r="F14" i="89"/>
  <c r="N14" i="91"/>
  <c r="L14" i="91"/>
  <c r="D55" i="91"/>
  <c r="X21" i="93"/>
  <c r="Z21" i="93" s="1"/>
  <c r="X14" i="94"/>
  <c r="Z14" i="94" s="1"/>
  <c r="P12" i="94"/>
  <c r="H20" i="85"/>
  <c r="J31" i="85"/>
  <c r="J35" i="85"/>
  <c r="J39" i="85"/>
  <c r="J53" i="85"/>
  <c r="J59" i="85"/>
  <c r="J63" i="85"/>
  <c r="J71" i="85"/>
  <c r="J75" i="85"/>
  <c r="V17" i="86"/>
  <c r="V19" i="86"/>
  <c r="V23" i="86"/>
  <c r="V39" i="86"/>
  <c r="V47" i="86"/>
  <c r="V51" i="86"/>
  <c r="V59" i="86"/>
  <c r="V65" i="86"/>
  <c r="L18" i="89"/>
  <c r="N18" i="89" s="1"/>
  <c r="Z18" i="89"/>
  <c r="Z19" i="89"/>
  <c r="P12" i="90"/>
  <c r="X13" i="90"/>
  <c r="L38" i="90"/>
  <c r="N38" i="90"/>
  <c r="X45" i="90"/>
  <c r="N12" i="85"/>
  <c r="J20" i="85"/>
  <c r="J24" i="85"/>
  <c r="J36" i="85"/>
  <c r="J42" i="85"/>
  <c r="J48" i="85"/>
  <c r="J56" i="85"/>
  <c r="J64" i="85"/>
  <c r="J72" i="85"/>
  <c r="J78" i="85"/>
  <c r="Z12" i="86"/>
  <c r="V24" i="86"/>
  <c r="V36" i="86"/>
  <c r="V40" i="86"/>
  <c r="V48" i="86"/>
  <c r="V68" i="86"/>
  <c r="V70" i="86"/>
  <c r="L14" i="88"/>
  <c r="Z24" i="88"/>
  <c r="L29" i="88"/>
  <c r="L12" i="89"/>
  <c r="T30" i="89"/>
  <c r="Z16" i="89"/>
  <c r="F24" i="89"/>
  <c r="F30" i="89"/>
  <c r="Z18" i="91"/>
  <c r="V30" i="93"/>
  <c r="V24" i="93"/>
  <c r="V18" i="93"/>
  <c r="V16" i="93"/>
  <c r="T16" i="93"/>
  <c r="V20" i="93"/>
  <c r="V19" i="93"/>
  <c r="V33" i="93"/>
  <c r="V26" i="93"/>
  <c r="V14" i="93"/>
  <c r="V28" i="93"/>
  <c r="V22" i="93"/>
  <c r="V21" i="93"/>
  <c r="Z12" i="93"/>
  <c r="L47" i="94"/>
  <c r="N47" i="94" s="1"/>
  <c r="X58" i="92"/>
  <c r="Z58" i="92" s="1"/>
  <c r="N74" i="92"/>
  <c r="L74" i="92"/>
  <c r="Z17" i="94"/>
  <c r="X17" i="94"/>
  <c r="V17" i="94"/>
  <c r="V22" i="88"/>
  <c r="R23" i="88"/>
  <c r="J24" i="88"/>
  <c r="J30" i="88"/>
  <c r="R32" i="88"/>
  <c r="J36" i="88"/>
  <c r="R39" i="88"/>
  <c r="V22" i="89"/>
  <c r="J26" i="89"/>
  <c r="Z28" i="89"/>
  <c r="J37" i="89"/>
  <c r="J39" i="90"/>
  <c r="J33" i="90"/>
  <c r="J23" i="90"/>
  <c r="J51" i="90"/>
  <c r="J45" i="90"/>
  <c r="J41" i="90"/>
  <c r="J35" i="90"/>
  <c r="J27" i="90"/>
  <c r="H18" i="90"/>
  <c r="J38" i="90"/>
  <c r="J32" i="90"/>
  <c r="J54" i="90"/>
  <c r="J47" i="90"/>
  <c r="J37" i="90"/>
  <c r="J31" i="90"/>
  <c r="J25" i="90"/>
  <c r="J15" i="90"/>
  <c r="X20" i="90"/>
  <c r="Z20" i="90" s="1"/>
  <c r="J21" i="90"/>
  <c r="J28" i="90"/>
  <c r="X35" i="90"/>
  <c r="Z35" i="90" s="1"/>
  <c r="J42" i="90"/>
  <c r="J43" i="90"/>
  <c r="L30" i="91"/>
  <c r="X36" i="91"/>
  <c r="Z14" i="92"/>
  <c r="F56" i="92"/>
  <c r="F68" i="92"/>
  <c r="L19" i="93"/>
  <c r="Z45" i="94"/>
  <c r="J19" i="88"/>
  <c r="V21" i="88"/>
  <c r="J25" i="88"/>
  <c r="J29" i="88"/>
  <c r="J19" i="89"/>
  <c r="R23" i="89"/>
  <c r="V25" i="89"/>
  <c r="R26" i="89"/>
  <c r="R34" i="89"/>
  <c r="R37" i="89"/>
  <c r="D18" i="90"/>
  <c r="L20" i="90"/>
  <c r="N20" i="90" s="1"/>
  <c r="Z31" i="90"/>
  <c r="F37" i="90"/>
  <c r="F39" i="90"/>
  <c r="J49" i="90"/>
  <c r="Z34" i="91"/>
  <c r="F24" i="92"/>
  <c r="N53" i="94"/>
  <c r="Z59" i="94"/>
  <c r="V16" i="88"/>
  <c r="J18" i="88"/>
  <c r="V18" i="88"/>
  <c r="R24" i="88"/>
  <c r="V26" i="88"/>
  <c r="R27" i="88"/>
  <c r="R30" i="88"/>
  <c r="J32" i="88"/>
  <c r="R36" i="88"/>
  <c r="J39" i="88"/>
  <c r="V16" i="89"/>
  <c r="J18" i="89"/>
  <c r="V18" i="89"/>
  <c r="J22" i="89"/>
  <c r="V26" i="89"/>
  <c r="V32" i="89"/>
  <c r="V37" i="89"/>
  <c r="F16" i="90"/>
  <c r="F25" i="90"/>
  <c r="X27" i="90"/>
  <c r="J36" i="90"/>
  <c r="F40" i="90"/>
  <c r="X28" i="91"/>
  <c r="Z28" i="91" s="1"/>
  <c r="Z32" i="91"/>
  <c r="F69" i="92"/>
  <c r="F57" i="92"/>
  <c r="F52" i="92"/>
  <c r="F49" i="92"/>
  <c r="F44" i="92"/>
  <c r="F41" i="92"/>
  <c r="F37" i="92"/>
  <c r="F33" i="92"/>
  <c r="F25" i="92"/>
  <c r="F74" i="92"/>
  <c r="F67" i="92"/>
  <c r="F63" i="92"/>
  <c r="F59" i="92"/>
  <c r="F54" i="92"/>
  <c r="F51" i="92"/>
  <c r="F46" i="92"/>
  <c r="F43" i="92"/>
  <c r="F35" i="92"/>
  <c r="F31" i="92"/>
  <c r="D21" i="92"/>
  <c r="F19" i="92"/>
  <c r="F66" i="92"/>
  <c r="F62" i="92"/>
  <c r="F30" i="92"/>
  <c r="F18" i="92"/>
  <c r="F81" i="92"/>
  <c r="F75" i="92"/>
  <c r="F71" i="92"/>
  <c r="F58" i="92"/>
  <c r="F55" i="92"/>
  <c r="F50" i="92"/>
  <c r="F47" i="92"/>
  <c r="F42" i="92"/>
  <c r="F39" i="92"/>
  <c r="F34" i="92"/>
  <c r="F27" i="92"/>
  <c r="N24" i="92"/>
  <c r="F28" i="92"/>
  <c r="F32" i="92"/>
  <c r="F38" i="92"/>
  <c r="F48" i="92"/>
  <c r="Z56" i="92"/>
  <c r="F60" i="92"/>
  <c r="F61" i="92"/>
  <c r="Z23" i="94"/>
  <c r="H16" i="88"/>
  <c r="J23" i="88"/>
  <c r="V27" i="88"/>
  <c r="X12" i="89"/>
  <c r="H16" i="89"/>
  <c r="R21" i="89"/>
  <c r="V23" i="89"/>
  <c r="R24" i="89"/>
  <c r="J25" i="89"/>
  <c r="R28" i="89"/>
  <c r="R30" i="89"/>
  <c r="V34" i="89"/>
  <c r="J24" i="90"/>
  <c r="Z27" i="90"/>
  <c r="J34" i="90"/>
  <c r="Z40" i="92"/>
  <c r="Z54" i="92"/>
  <c r="Z18" i="93"/>
  <c r="N15" i="94"/>
  <c r="V30" i="88"/>
  <c r="Z12" i="89"/>
  <c r="R14" i="89"/>
  <c r="J16" i="89"/>
  <c r="V24" i="89"/>
  <c r="F36" i="90"/>
  <c r="F31" i="90"/>
  <c r="F28" i="90"/>
  <c r="F24" i="90"/>
  <c r="F15" i="90"/>
  <c r="L12" i="90"/>
  <c r="F33" i="90"/>
  <c r="F30" i="90"/>
  <c r="F22" i="90"/>
  <c r="F41" i="90"/>
  <c r="F34" i="90"/>
  <c r="F29" i="90"/>
  <c r="F26" i="90"/>
  <c r="F21" i="90"/>
  <c r="F20" i="90"/>
  <c r="J20" i="90"/>
  <c r="F23" i="90"/>
  <c r="F32" i="90"/>
  <c r="J40" i="90"/>
  <c r="F42" i="90"/>
  <c r="F45" i="90"/>
  <c r="L16" i="91"/>
  <c r="L13" i="92"/>
  <c r="H12" i="92"/>
  <c r="L12" i="92" s="1"/>
  <c r="L14" i="92"/>
  <c r="F23" i="92"/>
  <c r="X24" i="92"/>
  <c r="Z24" i="92" s="1"/>
  <c r="F45" i="92"/>
  <c r="N46" i="92"/>
  <c r="Z52" i="92"/>
  <c r="L58" i="92"/>
  <c r="F70" i="92"/>
  <c r="Z74" i="92"/>
  <c r="F16" i="91"/>
  <c r="V16" i="91"/>
  <c r="J18" i="91"/>
  <c r="V18" i="91"/>
  <c r="V22" i="91"/>
  <c r="J26" i="91"/>
  <c r="F27" i="91"/>
  <c r="F30" i="91"/>
  <c r="V30" i="91"/>
  <c r="J32" i="91"/>
  <c r="F35" i="91"/>
  <c r="J38" i="91"/>
  <c r="V42" i="91"/>
  <c r="J48" i="91"/>
  <c r="J55" i="91"/>
  <c r="X12" i="93"/>
  <c r="H16" i="93"/>
  <c r="R18" i="93"/>
  <c r="J19" i="93"/>
  <c r="J20" i="93"/>
  <c r="X24" i="93"/>
  <c r="H12" i="94"/>
  <c r="T21" i="94"/>
  <c r="V26" i="94"/>
  <c r="Z34" i="94"/>
  <c r="L45" i="94"/>
  <c r="L62" i="94"/>
  <c r="N62" i="94" s="1"/>
  <c r="F20" i="93"/>
  <c r="F30" i="93"/>
  <c r="F24" i="93"/>
  <c r="F18" i="93"/>
  <c r="N45" i="94"/>
  <c r="V59" i="94"/>
  <c r="F22" i="91"/>
  <c r="J33" i="91"/>
  <c r="J39" i="91"/>
  <c r="F42" i="91"/>
  <c r="J28" i="93"/>
  <c r="J22" i="93"/>
  <c r="J18" i="93"/>
  <c r="F14" i="93"/>
  <c r="R20" i="93"/>
  <c r="J21" i="93"/>
  <c r="V80" i="94"/>
  <c r="V72" i="94"/>
  <c r="V68" i="94"/>
  <c r="V70" i="94"/>
  <c r="V78" i="94"/>
  <c r="V74" i="94"/>
  <c r="V55" i="94"/>
  <c r="V47" i="94"/>
  <c r="V39" i="94"/>
  <c r="V27" i="94"/>
  <c r="V23" i="94"/>
  <c r="V21" i="94"/>
  <c r="V66" i="94"/>
  <c r="V58" i="94"/>
  <c r="V50" i="94"/>
  <c r="V42" i="94"/>
  <c r="V38" i="94"/>
  <c r="V87" i="94"/>
  <c r="V81" i="94"/>
  <c r="V79" i="94"/>
  <c r="V77" i="94"/>
  <c r="V76" i="94"/>
  <c r="V75" i="94"/>
  <c r="V69" i="94"/>
  <c r="V65" i="94"/>
  <c r="V61" i="94"/>
  <c r="V57" i="94"/>
  <c r="V49" i="94"/>
  <c r="V41" i="94"/>
  <c r="V37" i="94"/>
  <c r="V33" i="94"/>
  <c r="V25" i="94"/>
  <c r="V64" i="94"/>
  <c r="V60" i="94"/>
  <c r="V52" i="94"/>
  <c r="V44" i="94"/>
  <c r="V36" i="94"/>
  <c r="V32" i="94"/>
  <c r="V24" i="94"/>
  <c r="V71" i="94"/>
  <c r="V67" i="94"/>
  <c r="V62" i="94"/>
  <c r="Z13" i="94"/>
  <c r="V31" i="94"/>
  <c r="L34" i="94"/>
  <c r="X51" i="94"/>
  <c r="J76" i="95"/>
  <c r="J60" i="95"/>
  <c r="J52" i="95"/>
  <c r="J44" i="95"/>
  <c r="J73" i="95"/>
  <c r="J67" i="95"/>
  <c r="J63" i="95"/>
  <c r="J57" i="95"/>
  <c r="J49" i="95"/>
  <c r="J41" i="95"/>
  <c r="J37" i="95"/>
  <c r="J33" i="95"/>
  <c r="J75" i="95"/>
  <c r="J55" i="95"/>
  <c r="J54" i="95"/>
  <c r="J23" i="95"/>
  <c r="J19" i="95"/>
  <c r="J59" i="95"/>
  <c r="J48" i="95"/>
  <c r="J32" i="95"/>
  <c r="J31" i="95"/>
  <c r="J30" i="95"/>
  <c r="J24" i="95"/>
  <c r="J74" i="95"/>
  <c r="J53" i="95"/>
  <c r="J42" i="95"/>
  <c r="J39" i="95"/>
  <c r="J29" i="95"/>
  <c r="J88" i="95"/>
  <c r="J85" i="95"/>
  <c r="J70" i="95"/>
  <c r="J69" i="95"/>
  <c r="J58" i="95"/>
  <c r="J47" i="95"/>
  <c r="J46" i="95"/>
  <c r="J77" i="95"/>
  <c r="J64" i="95"/>
  <c r="J56" i="95"/>
  <c r="J50" i="95"/>
  <c r="J34" i="95"/>
  <c r="J25" i="95"/>
  <c r="J21" i="95"/>
  <c r="J83" i="95"/>
  <c r="J68" i="95"/>
  <c r="J17" i="95"/>
  <c r="J79" i="95"/>
  <c r="J18" i="95"/>
  <c r="J51" i="95"/>
  <c r="J43" i="95"/>
  <c r="J35" i="95"/>
  <c r="J26" i="95"/>
  <c r="H21" i="95"/>
  <c r="J81" i="95"/>
  <c r="J27" i="95"/>
  <c r="J71" i="95"/>
  <c r="J61" i="95"/>
  <c r="J36" i="95"/>
  <c r="N12" i="95"/>
  <c r="X23" i="95"/>
  <c r="Z23" i="95" s="1"/>
  <c r="N42" i="95"/>
  <c r="L42" i="95"/>
  <c r="J66" i="95"/>
  <c r="F14" i="91"/>
  <c r="J22" i="91"/>
  <c r="F23" i="91"/>
  <c r="V26" i="91"/>
  <c r="J28" i="91"/>
  <c r="F31" i="91"/>
  <c r="F34" i="91"/>
  <c r="V34" i="91"/>
  <c r="J36" i="91"/>
  <c r="V38" i="91"/>
  <c r="J42" i="91"/>
  <c r="J46" i="91"/>
  <c r="J52" i="91"/>
  <c r="L12" i="93"/>
  <c r="P16" i="93"/>
  <c r="F22" i="93"/>
  <c r="L17" i="94"/>
  <c r="V29" i="94"/>
  <c r="V30" i="94"/>
  <c r="X43" i="94"/>
  <c r="V54" i="94"/>
  <c r="V56" i="94"/>
  <c r="Z62" i="94"/>
  <c r="T12" i="95"/>
  <c r="J28" i="95"/>
  <c r="J40" i="95"/>
  <c r="J45" i="95"/>
  <c r="N46" i="95"/>
  <c r="N34" i="94"/>
  <c r="P28" i="96"/>
  <c r="N12" i="91"/>
  <c r="J14" i="91"/>
  <c r="J24" i="91"/>
  <c r="F25" i="91"/>
  <c r="F29" i="91"/>
  <c r="F32" i="91"/>
  <c r="V32" i="91"/>
  <c r="J34" i="91"/>
  <c r="F37" i="91"/>
  <c r="V44" i="91"/>
  <c r="F48" i="91"/>
  <c r="V48" i="91"/>
  <c r="V50" i="91"/>
  <c r="D16" i="93"/>
  <c r="F19" i="93"/>
  <c r="F28" i="93"/>
  <c r="J30" i="93"/>
  <c r="F33" i="93"/>
  <c r="D12" i="94"/>
  <c r="N17" i="94"/>
  <c r="V28" i="94"/>
  <c r="V40" i="94"/>
  <c r="Z43" i="94"/>
  <c r="V45" i="94"/>
  <c r="V51" i="94"/>
  <c r="J38" i="95"/>
  <c r="V66" i="97"/>
  <c r="V52" i="97"/>
  <c r="V44" i="97"/>
  <c r="V36" i="97"/>
  <c r="V55" i="97"/>
  <c r="V51" i="97"/>
  <c r="V47" i="97"/>
  <c r="V35" i="97"/>
  <c r="V57" i="97"/>
  <c r="V53" i="97"/>
  <c r="V49" i="97"/>
  <c r="V62" i="97"/>
  <c r="V56" i="97"/>
  <c r="V48" i="97"/>
  <c r="V40" i="97"/>
  <c r="V32" i="97"/>
  <c r="V58" i="97"/>
  <c r="V42" i="97"/>
  <c r="V59" i="97"/>
  <c r="V54" i="97"/>
  <c r="V38" i="97"/>
  <c r="V37" i="97"/>
  <c r="V22" i="97"/>
  <c r="V29" i="97"/>
  <c r="V21" i="97"/>
  <c r="V50" i="97"/>
  <c r="V43" i="97"/>
  <c r="V28" i="97"/>
  <c r="V20" i="97"/>
  <c r="V46" i="97"/>
  <c r="V27" i="97"/>
  <c r="V15" i="97"/>
  <c r="V45" i="97"/>
  <c r="V33" i="97"/>
  <c r="V30" i="97"/>
  <c r="V39" i="97"/>
  <c r="V23" i="97"/>
  <c r="T17" i="97"/>
  <c r="V34" i="97"/>
  <c r="V31" i="97"/>
  <c r="V24" i="97"/>
  <c r="V26" i="97"/>
  <c r="V41" i="97"/>
  <c r="Z12" i="97"/>
  <c r="V25" i="97"/>
  <c r="V19" i="97"/>
  <c r="H64" i="97"/>
  <c r="J64" i="97" s="1"/>
  <c r="J17" i="97"/>
  <c r="N78" i="94"/>
  <c r="P12" i="95"/>
  <c r="Z48" i="95"/>
  <c r="X48" i="95"/>
  <c r="L44" i="97"/>
  <c r="N44" i="97" s="1"/>
  <c r="X13" i="95"/>
  <c r="D21" i="95"/>
  <c r="Z24" i="95"/>
  <c r="F35" i="95"/>
  <c r="F44" i="95"/>
  <c r="F51" i="95"/>
  <c r="F52" i="95"/>
  <c r="F79" i="95"/>
  <c r="X83" i="94"/>
  <c r="F19" i="95"/>
  <c r="F23" i="95"/>
  <c r="Z54" i="95"/>
  <c r="F64" i="95"/>
  <c r="F69" i="95"/>
  <c r="X14" i="96"/>
  <c r="X22" i="96"/>
  <c r="Z22" i="96" s="1"/>
  <c r="N19" i="97"/>
  <c r="Z80" i="94"/>
  <c r="N23" i="95"/>
  <c r="N58" i="95"/>
  <c r="L58" i="95"/>
  <c r="F68" i="95"/>
  <c r="F77" i="95"/>
  <c r="X20" i="96"/>
  <c r="T20" i="96"/>
  <c r="X19" i="97"/>
  <c r="Z19" i="97" s="1"/>
  <c r="X80" i="94"/>
  <c r="F74" i="95"/>
  <c r="F58" i="95"/>
  <c r="F55" i="95"/>
  <c r="F50" i="95"/>
  <c r="F47" i="95"/>
  <c r="F38" i="95"/>
  <c r="F76" i="95"/>
  <c r="F63" i="95"/>
  <c r="F62" i="95"/>
  <c r="F61" i="95"/>
  <c r="F56" i="95"/>
  <c r="F49" i="95"/>
  <c r="F43" i="95"/>
  <c r="F34" i="95"/>
  <c r="F21" i="95"/>
  <c r="L12" i="95"/>
  <c r="F75" i="95"/>
  <c r="F60" i="95"/>
  <c r="F40" i="95"/>
  <c r="F33" i="95"/>
  <c r="F59" i="95"/>
  <c r="F54" i="95"/>
  <c r="F32" i="95"/>
  <c r="F31" i="95"/>
  <c r="F30" i="95"/>
  <c r="F18" i="95"/>
  <c r="F53" i="95"/>
  <c r="F48" i="95"/>
  <c r="F67" i="95"/>
  <c r="F66" i="95"/>
  <c r="F65" i="95"/>
  <c r="F45" i="95"/>
  <c r="F26" i="95"/>
  <c r="F17" i="95"/>
  <c r="F24" i="95"/>
  <c r="F25" i="95"/>
  <c r="F39" i="95"/>
  <c r="F42" i="95"/>
  <c r="F57" i="95"/>
  <c r="L67" i="95"/>
  <c r="F73" i="95"/>
  <c r="L46" i="95"/>
  <c r="Z52" i="95"/>
  <c r="T16" i="96"/>
  <c r="X16" i="96" s="1"/>
  <c r="V31" i="96"/>
  <c r="V26" i="96"/>
  <c r="V24" i="96"/>
  <c r="D20" i="96"/>
  <c r="L20" i="96" s="1"/>
  <c r="N20" i="96" s="1"/>
  <c r="V21" i="96"/>
  <c r="X12" i="97"/>
  <c r="L37" i="97"/>
  <c r="X48" i="97"/>
  <c r="Z48" i="97" s="1"/>
  <c r="J57" i="97"/>
  <c r="Z60" i="95"/>
  <c r="Z63" i="95"/>
  <c r="R20" i="97"/>
  <c r="X30" i="97"/>
  <c r="Z30" i="97" s="1"/>
  <c r="R34" i="97"/>
  <c r="R39" i="97"/>
  <c r="N56" i="97"/>
  <c r="D16" i="96"/>
  <c r="F31" i="96"/>
  <c r="F24" i="96"/>
  <c r="F14" i="96"/>
  <c r="F16" i="96"/>
  <c r="V18" i="96"/>
  <c r="V20" i="96"/>
  <c r="N22" i="96"/>
  <c r="N13" i="97"/>
  <c r="J19" i="97"/>
  <c r="J27" i="97"/>
  <c r="J28" i="97"/>
  <c r="J55" i="97"/>
  <c r="X62" i="97"/>
  <c r="P61" i="97"/>
  <c r="X25" i="100"/>
  <c r="L63" i="95"/>
  <c r="Z67" i="95"/>
  <c r="L74" i="95"/>
  <c r="J21" i="96"/>
  <c r="J18" i="96"/>
  <c r="J14" i="96"/>
  <c r="N12" i="96"/>
  <c r="H16" i="96"/>
  <c r="L18" i="96"/>
  <c r="X21" i="96"/>
  <c r="Z21" i="96" s="1"/>
  <c r="J22" i="96"/>
  <c r="J31" i="96"/>
  <c r="D12" i="97"/>
  <c r="R58" i="97"/>
  <c r="R45" i="97"/>
  <c r="R66" i="97"/>
  <c r="R52" i="97"/>
  <c r="R41" i="97"/>
  <c r="R36" i="97"/>
  <c r="R54" i="97"/>
  <c r="R50" i="97"/>
  <c r="R57" i="97"/>
  <c r="R49" i="97"/>
  <c r="R46" i="97"/>
  <c r="R33" i="97"/>
  <c r="R62" i="97"/>
  <c r="R59" i="97"/>
  <c r="R56" i="97"/>
  <c r="R48" i="97"/>
  <c r="R43" i="97"/>
  <c r="R42" i="97"/>
  <c r="R35" i="97"/>
  <c r="R23" i="97"/>
  <c r="R40" i="97"/>
  <c r="R38" i="97"/>
  <c r="R22" i="97"/>
  <c r="R55" i="97"/>
  <c r="R44" i="97"/>
  <c r="R37" i="97"/>
  <c r="R29" i="97"/>
  <c r="R21" i="97"/>
  <c r="R19" i="97"/>
  <c r="P17" i="97"/>
  <c r="R17" i="97" s="1"/>
  <c r="R51" i="97"/>
  <c r="R28" i="97"/>
  <c r="X15" i="97"/>
  <c r="R53" i="97"/>
  <c r="Z62" i="97"/>
  <c r="T61" i="97"/>
  <c r="J21" i="100"/>
  <c r="J18" i="100"/>
  <c r="J36" i="100"/>
  <c r="J33" i="100"/>
  <c r="J29" i="100"/>
  <c r="J25" i="100"/>
  <c r="H18" i="100"/>
  <c r="J15" i="100"/>
  <c r="J22" i="100"/>
  <c r="N12" i="100"/>
  <c r="J34" i="100"/>
  <c r="J31" i="100"/>
  <c r="J27" i="100"/>
  <c r="J24" i="100"/>
  <c r="J16" i="100"/>
  <c r="L12" i="96"/>
  <c r="J16" i="96"/>
  <c r="J24" i="96"/>
  <c r="J26" i="96"/>
  <c r="J46" i="97"/>
  <c r="J40" i="97"/>
  <c r="J32" i="97"/>
  <c r="J59" i="97"/>
  <c r="J53" i="97"/>
  <c r="J43" i="97"/>
  <c r="J37" i="97"/>
  <c r="J62" i="97"/>
  <c r="J45" i="97"/>
  <c r="J66" i="97"/>
  <c r="J58" i="97"/>
  <c r="J52" i="97"/>
  <c r="J36" i="97"/>
  <c r="J54" i="97"/>
  <c r="J50" i="97"/>
  <c r="J44" i="97"/>
  <c r="J38" i="97"/>
  <c r="J48" i="97"/>
  <c r="J31" i="97"/>
  <c r="J26" i="97"/>
  <c r="J20" i="97"/>
  <c r="J47" i="97"/>
  <c r="J39" i="97"/>
  <c r="J34" i="97"/>
  <c r="J33" i="97"/>
  <c r="J25" i="97"/>
  <c r="J15" i="97"/>
  <c r="J41" i="97"/>
  <c r="J30" i="97"/>
  <c r="J24" i="97"/>
  <c r="J49" i="97"/>
  <c r="J42" i="97"/>
  <c r="J35" i="97"/>
  <c r="J23" i="97"/>
  <c r="R15" i="97"/>
  <c r="Z46" i="97"/>
  <c r="X56" i="97"/>
  <c r="Z56" i="97" s="1"/>
  <c r="P27" i="99"/>
  <c r="X33" i="100"/>
  <c r="R16" i="96"/>
  <c r="L58" i="97"/>
  <c r="L21" i="98"/>
  <c r="X34" i="98"/>
  <c r="L62" i="97"/>
  <c r="N62" i="97" s="1"/>
  <c r="D61" i="97"/>
  <c r="V36" i="98"/>
  <c r="V33" i="98"/>
  <c r="V29" i="98"/>
  <c r="V25" i="98"/>
  <c r="T18" i="98"/>
  <c r="V15" i="98"/>
  <c r="V22" i="98"/>
  <c r="V20" i="98"/>
  <c r="V16" i="98"/>
  <c r="Z12" i="98"/>
  <c r="V34" i="98"/>
  <c r="V31" i="98"/>
  <c r="V27" i="98"/>
  <c r="X12" i="98"/>
  <c r="V21" i="98"/>
  <c r="L25" i="99"/>
  <c r="L29" i="99"/>
  <c r="N53" i="97"/>
  <c r="X21" i="99"/>
  <c r="X15" i="100"/>
  <c r="X29" i="100"/>
  <c r="P31" i="98"/>
  <c r="J16" i="99"/>
  <c r="J20" i="99"/>
  <c r="R22" i="100"/>
  <c r="J15" i="98"/>
  <c r="H18" i="98"/>
  <c r="F21" i="98"/>
  <c r="J25" i="98"/>
  <c r="R27" i="98"/>
  <c r="J29" i="98"/>
  <c r="R31" i="98"/>
  <c r="J33" i="98"/>
  <c r="R34" i="98"/>
  <c r="J36" i="98"/>
  <c r="L12" i="99"/>
  <c r="F15" i="99"/>
  <c r="V15" i="99"/>
  <c r="D18" i="99"/>
  <c r="T18" i="99"/>
  <c r="X18" i="99" s="1"/>
  <c r="R21" i="99"/>
  <c r="F25" i="99"/>
  <c r="V25" i="99"/>
  <c r="F29" i="99"/>
  <c r="V29" i="99"/>
  <c r="F33" i="99"/>
  <c r="V33" i="99"/>
  <c r="F36" i="99"/>
  <c r="V36" i="99"/>
  <c r="R15" i="100"/>
  <c r="P18" i="100"/>
  <c r="R25" i="100"/>
  <c r="R29" i="100"/>
  <c r="R33" i="100"/>
  <c r="R36" i="100"/>
  <c r="J21" i="98"/>
  <c r="F27" i="98"/>
  <c r="F31" i="98"/>
  <c r="F34" i="98"/>
  <c r="J15" i="99"/>
  <c r="H18" i="99"/>
  <c r="V21" i="99"/>
  <c r="J25" i="99"/>
  <c r="R27" i="99"/>
  <c r="J29" i="99"/>
  <c r="R31" i="99"/>
  <c r="J33" i="99"/>
  <c r="R34" i="99"/>
  <c r="J36" i="99"/>
  <c r="L12" i="100"/>
  <c r="F15" i="100"/>
  <c r="V15" i="100"/>
  <c r="D18" i="100"/>
  <c r="T18" i="100"/>
  <c r="R21" i="100"/>
  <c r="F25" i="100"/>
  <c r="V25" i="100"/>
  <c r="F29" i="100"/>
  <c r="V29" i="100"/>
  <c r="F33" i="100"/>
  <c r="V33" i="100"/>
  <c r="F36" i="100"/>
  <c r="V36" i="100"/>
  <c r="F16" i="98"/>
  <c r="F20" i="98"/>
  <c r="J24" i="98"/>
  <c r="J18" i="99"/>
  <c r="V24" i="99"/>
  <c r="R24" i="100"/>
  <c r="J21" i="99"/>
  <c r="R27" i="100"/>
  <c r="R31" i="100"/>
  <c r="R34" i="100"/>
  <c r="J16" i="98"/>
  <c r="F22" i="98"/>
  <c r="Z12" i="99"/>
  <c r="V16" i="99"/>
  <c r="J24" i="99"/>
  <c r="R16" i="100"/>
  <c r="R20" i="100"/>
  <c r="F24" i="100"/>
  <c r="V24" i="100"/>
  <c r="H61" i="97"/>
  <c r="L12" i="98"/>
  <c r="F15" i="98"/>
  <c r="D18" i="98"/>
  <c r="F25" i="98"/>
  <c r="F29" i="98"/>
  <c r="F33" i="98"/>
  <c r="R25" i="99"/>
  <c r="J27" i="99"/>
  <c r="R29" i="99"/>
  <c r="J31" i="99"/>
  <c r="R33" i="99"/>
  <c r="F27" i="100"/>
  <c r="V27" i="100"/>
  <c r="F31" i="100"/>
  <c r="V31" i="100"/>
  <c r="Z27" i="47" l="1"/>
  <c r="H27" i="49"/>
  <c r="L18" i="10"/>
  <c r="Z27" i="14"/>
  <c r="X18" i="47"/>
  <c r="L18" i="20"/>
  <c r="H27" i="5"/>
  <c r="Z18" i="47"/>
  <c r="Z31" i="47"/>
  <c r="X18" i="22"/>
  <c r="Z27" i="33"/>
  <c r="Z18" i="49"/>
  <c r="Z27" i="50"/>
  <c r="Z18" i="32"/>
  <c r="Z18" i="50"/>
  <c r="L18" i="23"/>
  <c r="Z27" i="32"/>
  <c r="Z27" i="5"/>
  <c r="X18" i="23"/>
  <c r="X18" i="30"/>
  <c r="Z18" i="23"/>
  <c r="L18" i="49"/>
  <c r="X18" i="37"/>
  <c r="X18" i="10"/>
  <c r="N18" i="17"/>
  <c r="N18" i="32"/>
  <c r="N18" i="27"/>
  <c r="T31" i="17"/>
  <c r="Z31" i="17" s="1"/>
  <c r="N18" i="19"/>
  <c r="D27" i="49"/>
  <c r="X18" i="46"/>
  <c r="Z18" i="17"/>
  <c r="L18" i="17"/>
  <c r="L18" i="14"/>
  <c r="Z18" i="10"/>
  <c r="N18" i="41"/>
  <c r="N18" i="14"/>
  <c r="N18" i="4"/>
  <c r="Z18" i="14"/>
  <c r="H27" i="35"/>
  <c r="N18" i="35"/>
  <c r="Z18" i="5"/>
  <c r="X18" i="32"/>
  <c r="P31" i="96"/>
  <c r="N65" i="86"/>
  <c r="L65" i="86"/>
  <c r="H83" i="79"/>
  <c r="T80" i="76"/>
  <c r="H107" i="42"/>
  <c r="H111" i="36"/>
  <c r="F78" i="31"/>
  <c r="F69" i="31"/>
  <c r="F56" i="31"/>
  <c r="F53" i="31"/>
  <c r="F48" i="31"/>
  <c r="F44" i="31"/>
  <c r="F37" i="31"/>
  <c r="F76" i="31"/>
  <c r="F68" i="31"/>
  <c r="F59" i="31"/>
  <c r="F36" i="31"/>
  <c r="F27" i="31"/>
  <c r="F55" i="31"/>
  <c r="F50" i="31"/>
  <c r="F47" i="31"/>
  <c r="F43" i="31"/>
  <c r="F79" i="31"/>
  <c r="F73" i="31"/>
  <c r="F65" i="31"/>
  <c r="F61" i="31"/>
  <c r="F58" i="31"/>
  <c r="F46" i="31"/>
  <c r="F42" i="31"/>
  <c r="D32" i="31"/>
  <c r="F30" i="31"/>
  <c r="F57" i="31"/>
  <c r="F52" i="31"/>
  <c r="F49" i="31"/>
  <c r="F45" i="31"/>
  <c r="F41" i="31"/>
  <c r="F29" i="31"/>
  <c r="F75" i="31"/>
  <c r="F72" i="31"/>
  <c r="F67" i="31"/>
  <c r="F64" i="31"/>
  <c r="F60" i="31"/>
  <c r="F40" i="31"/>
  <c r="F35" i="31"/>
  <c r="F34" i="31"/>
  <c r="F28" i="31"/>
  <c r="L12" i="31"/>
  <c r="N12" i="31" s="1"/>
  <c r="F80" i="31"/>
  <c r="F71" i="31"/>
  <c r="F63" i="31"/>
  <c r="F54" i="31"/>
  <c r="F51" i="31"/>
  <c r="F39" i="31"/>
  <c r="F84" i="31"/>
  <c r="F74" i="31"/>
  <c r="F70" i="31"/>
  <c r="F66" i="31"/>
  <c r="F62" i="31"/>
  <c r="F38" i="31"/>
  <c r="H27" i="29"/>
  <c r="L27" i="29" s="1"/>
  <c r="N18" i="29"/>
  <c r="X18" i="20"/>
  <c r="P27" i="20"/>
  <c r="T36" i="27"/>
  <c r="Z36" i="27" s="1"/>
  <c r="Z31" i="27"/>
  <c r="N27" i="27"/>
  <c r="H31" i="27"/>
  <c r="J82" i="21"/>
  <c r="J85" i="21"/>
  <c r="J79" i="21"/>
  <c r="J63" i="21"/>
  <c r="J57" i="21"/>
  <c r="J49" i="21"/>
  <c r="J43" i="21"/>
  <c r="J37" i="21"/>
  <c r="J90" i="21"/>
  <c r="J84" i="21"/>
  <c r="J74" i="21"/>
  <c r="J68" i="21"/>
  <c r="J60" i="21"/>
  <c r="J54" i="21"/>
  <c r="J48" i="21"/>
  <c r="J36" i="21"/>
  <c r="J71" i="21"/>
  <c r="J70" i="21"/>
  <c r="J51" i="21"/>
  <c r="J26" i="21"/>
  <c r="J25" i="21"/>
  <c r="J93" i="21"/>
  <c r="J89" i="21"/>
  <c r="J88" i="21"/>
  <c r="J64" i="21"/>
  <c r="J58" i="21"/>
  <c r="J56" i="21"/>
  <c r="J91" i="21"/>
  <c r="J81" i="21"/>
  <c r="J80" i="21"/>
  <c r="J69" i="21"/>
  <c r="J62" i="21"/>
  <c r="J50" i="21"/>
  <c r="J97" i="21"/>
  <c r="J87" i="21"/>
  <c r="J86" i="21"/>
  <c r="J77" i="21"/>
  <c r="J76" i="21"/>
  <c r="J45" i="21"/>
  <c r="J44" i="21"/>
  <c r="J32" i="21"/>
  <c r="J78" i="21"/>
  <c r="J75" i="21"/>
  <c r="J61" i="21"/>
  <c r="J55" i="21"/>
  <c r="J47" i="21"/>
  <c r="J46" i="21"/>
  <c r="J41" i="21"/>
  <c r="J40" i="21"/>
  <c r="J35" i="21"/>
  <c r="J34" i="21"/>
  <c r="J83" i="21"/>
  <c r="J73" i="21"/>
  <c r="J67" i="21"/>
  <c r="J53" i="21"/>
  <c r="J42" i="21"/>
  <c r="J39" i="21"/>
  <c r="J38" i="21"/>
  <c r="J72" i="21"/>
  <c r="J52" i="21"/>
  <c r="J33" i="21"/>
  <c r="H30" i="21"/>
  <c r="J30" i="21" s="1"/>
  <c r="J59" i="21"/>
  <c r="J27" i="21"/>
  <c r="J65" i="21"/>
  <c r="J66" i="21"/>
  <c r="J28" i="21"/>
  <c r="P27" i="17"/>
  <c r="X18" i="17"/>
  <c r="Z226" i="12"/>
  <c r="D31" i="23"/>
  <c r="L27" i="14"/>
  <c r="D31" i="14"/>
  <c r="L18" i="7"/>
  <c r="D27" i="7"/>
  <c r="P90" i="9"/>
  <c r="X16" i="9"/>
  <c r="D26" i="93"/>
  <c r="L16" i="93"/>
  <c r="T34" i="89"/>
  <c r="N20" i="85"/>
  <c r="H84" i="85"/>
  <c r="T55" i="91"/>
  <c r="T36" i="80"/>
  <c r="V104" i="77"/>
  <c r="V96" i="77"/>
  <c r="V80" i="77"/>
  <c r="V72" i="77"/>
  <c r="V60" i="77"/>
  <c r="V56" i="77"/>
  <c r="V44" i="77"/>
  <c r="V103" i="77"/>
  <c r="V79" i="77"/>
  <c r="V71" i="77"/>
  <c r="V55" i="77"/>
  <c r="V43" i="77"/>
  <c r="V112" i="77"/>
  <c r="V106" i="77"/>
  <c r="V82" i="77"/>
  <c r="V74" i="77"/>
  <c r="V66" i="77"/>
  <c r="V54" i="77"/>
  <c r="V50" i="77"/>
  <c r="V42" i="77"/>
  <c r="V105" i="77"/>
  <c r="V81" i="77"/>
  <c r="V73" i="77"/>
  <c r="V65" i="77"/>
  <c r="V53" i="77"/>
  <c r="T48" i="77"/>
  <c r="V41" i="77"/>
  <c r="V108" i="77"/>
  <c r="V102" i="77"/>
  <c r="V98" i="77"/>
  <c r="V94" i="77"/>
  <c r="V90" i="77"/>
  <c r="V86" i="77"/>
  <c r="V78" i="77"/>
  <c r="V70" i="77"/>
  <c r="V62" i="77"/>
  <c r="V58" i="77"/>
  <c r="V46" i="77"/>
  <c r="V38" i="77"/>
  <c r="V97" i="77"/>
  <c r="V88" i="77"/>
  <c r="V85" i="77"/>
  <c r="V83" i="77"/>
  <c r="V39" i="77"/>
  <c r="V93" i="77"/>
  <c r="V77" i="77"/>
  <c r="V59" i="77"/>
  <c r="V40" i="77"/>
  <c r="V91" i="77"/>
  <c r="V75" i="77"/>
  <c r="V64" i="77"/>
  <c r="V52" i="77"/>
  <c r="V101" i="77"/>
  <c r="V84" i="77"/>
  <c r="V69" i="77"/>
  <c r="V61" i="77"/>
  <c r="V100" i="77"/>
  <c r="V95" i="77"/>
  <c r="V87" i="77"/>
  <c r="V68" i="77"/>
  <c r="V63" i="77"/>
  <c r="V57" i="77"/>
  <c r="V99" i="77"/>
  <c r="V92" i="77"/>
  <c r="V67" i="77"/>
  <c r="V89" i="77"/>
  <c r="V76" i="77"/>
  <c r="V51" i="77"/>
  <c r="V45" i="77"/>
  <c r="P32" i="80"/>
  <c r="X16" i="80"/>
  <c r="R27" i="75"/>
  <c r="P23" i="75"/>
  <c r="R31" i="75"/>
  <c r="R21" i="75"/>
  <c r="R25" i="75"/>
  <c r="R20" i="75"/>
  <c r="R19" i="75"/>
  <c r="R18" i="75"/>
  <c r="R23" i="75"/>
  <c r="X12" i="75"/>
  <c r="R74" i="76"/>
  <c r="R63" i="76"/>
  <c r="R59" i="76"/>
  <c r="R55" i="76"/>
  <c r="R43" i="76"/>
  <c r="R40" i="76"/>
  <c r="R35" i="76"/>
  <c r="R31" i="76"/>
  <c r="R70" i="76"/>
  <c r="R67" i="76"/>
  <c r="R62" i="76"/>
  <c r="R58" i="76"/>
  <c r="R54" i="76"/>
  <c r="R51" i="76"/>
  <c r="R46" i="76"/>
  <c r="R34" i="76"/>
  <c r="R30" i="76"/>
  <c r="R23" i="76"/>
  <c r="R18" i="76"/>
  <c r="R57" i="76"/>
  <c r="R42" i="76"/>
  <c r="R37" i="76"/>
  <c r="R33" i="76"/>
  <c r="R29" i="76"/>
  <c r="R78" i="76"/>
  <c r="R72" i="76"/>
  <c r="R69" i="76"/>
  <c r="R61" i="76"/>
  <c r="R53" i="76"/>
  <c r="R48" i="76"/>
  <c r="R45" i="76"/>
  <c r="R28" i="76"/>
  <c r="R65" i="76"/>
  <c r="R41" i="76"/>
  <c r="R38" i="76"/>
  <c r="R25" i="76"/>
  <c r="R20" i="76"/>
  <c r="P20" i="76"/>
  <c r="X12" i="76"/>
  <c r="R49" i="76"/>
  <c r="R27" i="76"/>
  <c r="R26" i="76"/>
  <c r="R52" i="76"/>
  <c r="R64" i="76"/>
  <c r="R50" i="76"/>
  <c r="R36" i="76"/>
  <c r="R16" i="76"/>
  <c r="R44" i="76"/>
  <c r="R17" i="76"/>
  <c r="R68" i="76"/>
  <c r="R60" i="76"/>
  <c r="R56" i="76"/>
  <c r="R47" i="76"/>
  <c r="R39" i="76"/>
  <c r="R22" i="76"/>
  <c r="R71" i="76"/>
  <c r="R24" i="76"/>
  <c r="R66" i="76"/>
  <c r="R32" i="76"/>
  <c r="P83" i="79"/>
  <c r="D76" i="73"/>
  <c r="V77" i="70"/>
  <c r="V71" i="70"/>
  <c r="V67" i="70"/>
  <c r="V73" i="70"/>
  <c r="V69" i="70"/>
  <c r="V81" i="70"/>
  <c r="V70" i="70"/>
  <c r="V53" i="70"/>
  <c r="V45" i="70"/>
  <c r="V41" i="70"/>
  <c r="V33" i="70"/>
  <c r="V72" i="70"/>
  <c r="V66" i="70"/>
  <c r="V65" i="70"/>
  <c r="V56" i="70"/>
  <c r="V52" i="70"/>
  <c r="V44" i="70"/>
  <c r="V40" i="70"/>
  <c r="V28" i="70"/>
  <c r="V76" i="70"/>
  <c r="V74" i="70"/>
  <c r="V55" i="70"/>
  <c r="V47" i="70"/>
  <c r="V43" i="70"/>
  <c r="V39" i="70"/>
  <c r="V27" i="70"/>
  <c r="V68" i="70"/>
  <c r="V62" i="70"/>
  <c r="V58" i="70"/>
  <c r="V54" i="70"/>
  <c r="V46" i="70"/>
  <c r="V42" i="70"/>
  <c r="V38" i="70"/>
  <c r="V64" i="70"/>
  <c r="V60" i="70"/>
  <c r="V48" i="70"/>
  <c r="V36" i="70"/>
  <c r="V32" i="70"/>
  <c r="V30" i="70"/>
  <c r="V63" i="70"/>
  <c r="V59" i="70"/>
  <c r="V51" i="70"/>
  <c r="V35" i="70"/>
  <c r="T30" i="70"/>
  <c r="V61" i="70"/>
  <c r="V34" i="70"/>
  <c r="V49" i="70"/>
  <c r="V37" i="70"/>
  <c r="V57" i="70"/>
  <c r="V50" i="70"/>
  <c r="R143" i="69"/>
  <c r="P99" i="62"/>
  <c r="X17" i="62"/>
  <c r="D46" i="61"/>
  <c r="L16" i="61"/>
  <c r="T27" i="52"/>
  <c r="Z18" i="52"/>
  <c r="T73" i="56"/>
  <c r="D73" i="58"/>
  <c r="L69" i="58"/>
  <c r="H38" i="63"/>
  <c r="N16" i="63"/>
  <c r="H27" i="52"/>
  <c r="L27" i="52" s="1"/>
  <c r="N18" i="52"/>
  <c r="H27" i="47"/>
  <c r="N18" i="47"/>
  <c r="X18" i="44"/>
  <c r="P27" i="44"/>
  <c r="J45" i="48"/>
  <c r="J39" i="48"/>
  <c r="J25" i="48"/>
  <c r="J15" i="48"/>
  <c r="J66" i="48"/>
  <c r="J58" i="48"/>
  <c r="J52" i="48"/>
  <c r="J36" i="48"/>
  <c r="J30" i="48"/>
  <c r="J24" i="48"/>
  <c r="J55" i="48"/>
  <c r="J51" i="48"/>
  <c r="J47" i="48"/>
  <c r="J41" i="48"/>
  <c r="J35" i="48"/>
  <c r="J23" i="48"/>
  <c r="J54" i="48"/>
  <c r="J50" i="48"/>
  <c r="J44" i="48"/>
  <c r="J38" i="48"/>
  <c r="J34" i="48"/>
  <c r="J22" i="48"/>
  <c r="J46" i="48"/>
  <c r="J40" i="48"/>
  <c r="J32" i="48"/>
  <c r="J28" i="48"/>
  <c r="H17" i="48"/>
  <c r="J59" i="48"/>
  <c r="J53" i="48"/>
  <c r="J43" i="48"/>
  <c r="J37" i="48"/>
  <c r="J31" i="48"/>
  <c r="J27" i="48"/>
  <c r="J19" i="48"/>
  <c r="J62" i="48"/>
  <c r="J56" i="48"/>
  <c r="J48" i="48"/>
  <c r="J42" i="48"/>
  <c r="J26" i="48"/>
  <c r="J20" i="48"/>
  <c r="J49" i="48"/>
  <c r="J33" i="48"/>
  <c r="J17" i="48"/>
  <c r="J61" i="48"/>
  <c r="J57" i="48"/>
  <c r="J29" i="48"/>
  <c r="J21" i="48"/>
  <c r="H27" i="43"/>
  <c r="N18" i="43"/>
  <c r="L18" i="43"/>
  <c r="X61" i="48"/>
  <c r="L98" i="42"/>
  <c r="N98" i="42" s="1"/>
  <c r="H36" i="44"/>
  <c r="N36" i="44" s="1"/>
  <c r="N31" i="44"/>
  <c r="H31" i="41"/>
  <c r="N27" i="41"/>
  <c r="X106" i="36"/>
  <c r="P27" i="41"/>
  <c r="X18" i="41"/>
  <c r="T115" i="39"/>
  <c r="V32" i="39"/>
  <c r="F152" i="34"/>
  <c r="F147" i="34"/>
  <c r="F139" i="34"/>
  <c r="F123" i="34"/>
  <c r="F120" i="34"/>
  <c r="F111" i="34"/>
  <c r="F164" i="34"/>
  <c r="F158" i="34"/>
  <c r="F155" i="34"/>
  <c r="F151" i="34"/>
  <c r="F143" i="34"/>
  <c r="F169" i="34"/>
  <c r="F159" i="34"/>
  <c r="F154" i="34"/>
  <c r="F130" i="34"/>
  <c r="F127" i="34"/>
  <c r="F118" i="34"/>
  <c r="F115" i="34"/>
  <c r="F165" i="34"/>
  <c r="F163" i="34"/>
  <c r="F161" i="34"/>
  <c r="F160" i="34"/>
  <c r="F150" i="34"/>
  <c r="F148" i="34"/>
  <c r="F122" i="34"/>
  <c r="F109" i="34"/>
  <c r="F106" i="34"/>
  <c r="F102" i="34"/>
  <c r="F90" i="34"/>
  <c r="F78" i="34"/>
  <c r="F70" i="34"/>
  <c r="F62" i="34"/>
  <c r="F157" i="34"/>
  <c r="F149" i="34"/>
  <c r="F146" i="34"/>
  <c r="F142" i="34"/>
  <c r="F140" i="34"/>
  <c r="F119" i="34"/>
  <c r="F114" i="34"/>
  <c r="F101" i="34"/>
  <c r="F97" i="34"/>
  <c r="F77" i="34"/>
  <c r="F69" i="34"/>
  <c r="F61" i="34"/>
  <c r="F156" i="34"/>
  <c r="F145" i="34"/>
  <c r="F141" i="34"/>
  <c r="F138" i="34"/>
  <c r="F129" i="34"/>
  <c r="F121" i="34"/>
  <c r="F108" i="34"/>
  <c r="F100" i="34"/>
  <c r="F96" i="34"/>
  <c r="D86" i="34"/>
  <c r="F86" i="34" s="1"/>
  <c r="F84" i="34"/>
  <c r="F76" i="34"/>
  <c r="F68" i="34"/>
  <c r="F60" i="34"/>
  <c r="L12" i="34"/>
  <c r="N12" i="34" s="1"/>
  <c r="F153" i="34"/>
  <c r="F144" i="34"/>
  <c r="F137" i="34"/>
  <c r="F113" i="34"/>
  <c r="F112" i="34"/>
  <c r="F99" i="34"/>
  <c r="F95" i="34"/>
  <c r="F83" i="34"/>
  <c r="F75" i="34"/>
  <c r="F67" i="34"/>
  <c r="F59" i="34"/>
  <c r="F136" i="34"/>
  <c r="F135" i="34"/>
  <c r="F134" i="34"/>
  <c r="F133" i="34"/>
  <c r="F128" i="34"/>
  <c r="F126" i="34"/>
  <c r="F105" i="34"/>
  <c r="F94" i="34"/>
  <c r="F89" i="34"/>
  <c r="F88" i="34"/>
  <c r="F82" i="34"/>
  <c r="F74" i="34"/>
  <c r="F66" i="34"/>
  <c r="F117" i="34"/>
  <c r="F110" i="34"/>
  <c r="F93" i="34"/>
  <c r="F81" i="34"/>
  <c r="F73" i="34"/>
  <c r="F65" i="34"/>
  <c r="F132" i="34"/>
  <c r="F131" i="34"/>
  <c r="F125" i="34"/>
  <c r="F124" i="34"/>
  <c r="F107" i="34"/>
  <c r="F104" i="34"/>
  <c r="F92" i="34"/>
  <c r="F80" i="34"/>
  <c r="F72" i="34"/>
  <c r="F64" i="34"/>
  <c r="F116" i="34"/>
  <c r="F103" i="34"/>
  <c r="F98" i="34"/>
  <c r="F91" i="34"/>
  <c r="F79" i="34"/>
  <c r="F71" i="34"/>
  <c r="F63" i="34"/>
  <c r="F58" i="34"/>
  <c r="D92" i="45"/>
  <c r="L21" i="45"/>
  <c r="R117" i="39"/>
  <c r="R104" i="39"/>
  <c r="R99" i="39"/>
  <c r="R91" i="39"/>
  <c r="R88" i="39"/>
  <c r="R63" i="39"/>
  <c r="R51" i="39"/>
  <c r="R39" i="39"/>
  <c r="R107" i="39"/>
  <c r="R98" i="39"/>
  <c r="R83" i="39"/>
  <c r="R74" i="39"/>
  <c r="R71" i="39"/>
  <c r="R59" i="39"/>
  <c r="R54" i="39"/>
  <c r="R50" i="39"/>
  <c r="R38" i="39"/>
  <c r="R27" i="39"/>
  <c r="R112" i="39"/>
  <c r="R101" i="39"/>
  <c r="R97" i="39"/>
  <c r="R90" i="39"/>
  <c r="R65" i="39"/>
  <c r="R62" i="39"/>
  <c r="R49" i="39"/>
  <c r="R37" i="39"/>
  <c r="R32" i="39"/>
  <c r="R96" i="39"/>
  <c r="R80" i="39"/>
  <c r="R76" i="39"/>
  <c r="R73" i="39"/>
  <c r="R68" i="39"/>
  <c r="R56" i="39"/>
  <c r="R53" i="39"/>
  <c r="R48" i="39"/>
  <c r="R44" i="39"/>
  <c r="R36" i="39"/>
  <c r="R34" i="39"/>
  <c r="P32" i="39"/>
  <c r="R105" i="39"/>
  <c r="R102" i="39"/>
  <c r="R93" i="39"/>
  <c r="R89" i="39"/>
  <c r="R85" i="39"/>
  <c r="R66" i="39"/>
  <c r="R61" i="39"/>
  <c r="R41" i="39"/>
  <c r="R29" i="39"/>
  <c r="R111" i="39"/>
  <c r="R108" i="39"/>
  <c r="R92" i="39"/>
  <c r="R84" i="39"/>
  <c r="R81" i="39"/>
  <c r="R77" i="39"/>
  <c r="R72" i="39"/>
  <c r="R69" i="39"/>
  <c r="R60" i="39"/>
  <c r="R57" i="39"/>
  <c r="R52" i="39"/>
  <c r="R45" i="39"/>
  <c r="R40" i="39"/>
  <c r="R28" i="39"/>
  <c r="X12" i="39"/>
  <c r="Z12" i="39" s="1"/>
  <c r="R94" i="39"/>
  <c r="R79" i="39"/>
  <c r="R70" i="39"/>
  <c r="R55" i="39"/>
  <c r="R35" i="39"/>
  <c r="R87" i="39"/>
  <c r="R113" i="39"/>
  <c r="R95" i="39"/>
  <c r="R67" i="39"/>
  <c r="R64" i="39"/>
  <c r="R103" i="39"/>
  <c r="R100" i="39"/>
  <c r="R46" i="39"/>
  <c r="R42" i="39"/>
  <c r="R110" i="39"/>
  <c r="R82" i="39"/>
  <c r="R78" i="39"/>
  <c r="R106" i="39"/>
  <c r="R86" i="39"/>
  <c r="R75" i="39"/>
  <c r="R58" i="39"/>
  <c r="R47" i="39"/>
  <c r="R43" i="39"/>
  <c r="R30" i="39"/>
  <c r="D96" i="51"/>
  <c r="N27" i="32"/>
  <c r="H31" i="32"/>
  <c r="L18" i="27"/>
  <c r="D27" i="27"/>
  <c r="J151" i="28"/>
  <c r="J145" i="28"/>
  <c r="J125" i="28"/>
  <c r="J119" i="28"/>
  <c r="J113" i="28"/>
  <c r="J107" i="28"/>
  <c r="J161" i="28"/>
  <c r="J155" i="28"/>
  <c r="J149" i="28"/>
  <c r="J133" i="28"/>
  <c r="J129" i="28"/>
  <c r="J123" i="28"/>
  <c r="J117" i="28"/>
  <c r="J103" i="28"/>
  <c r="J122" i="28"/>
  <c r="J121" i="28"/>
  <c r="J100" i="28"/>
  <c r="J88" i="28"/>
  <c r="J76" i="28"/>
  <c r="J68" i="28"/>
  <c r="J60" i="28"/>
  <c r="J152" i="28"/>
  <c r="J134" i="28"/>
  <c r="J114" i="28"/>
  <c r="J108" i="28"/>
  <c r="J99" i="28"/>
  <c r="J95" i="28"/>
  <c r="H84" i="28"/>
  <c r="J84" i="28" s="1"/>
  <c r="J75" i="28"/>
  <c r="J67" i="28"/>
  <c r="J59" i="28"/>
  <c r="J148" i="28"/>
  <c r="J147" i="28"/>
  <c r="J146" i="28"/>
  <c r="J144" i="28"/>
  <c r="J131" i="28"/>
  <c r="J127" i="28"/>
  <c r="J120" i="28"/>
  <c r="J98" i="28"/>
  <c r="J94" i="28"/>
  <c r="J86" i="28"/>
  <c r="J82" i="28"/>
  <c r="J74" i="28"/>
  <c r="J66" i="28"/>
  <c r="J58" i="28"/>
  <c r="J160" i="28"/>
  <c r="J158" i="28"/>
  <c r="J157" i="28"/>
  <c r="J150" i="28"/>
  <c r="J132" i="28"/>
  <c r="J106" i="28"/>
  <c r="J105" i="28"/>
  <c r="J97" i="28"/>
  <c r="J93" i="28"/>
  <c r="J87" i="28"/>
  <c r="J81" i="28"/>
  <c r="J73" i="28"/>
  <c r="J65" i="28"/>
  <c r="J57" i="28"/>
  <c r="J166" i="28"/>
  <c r="J143" i="28"/>
  <c r="J142" i="28"/>
  <c r="J141" i="28"/>
  <c r="J130" i="28"/>
  <c r="J126" i="28"/>
  <c r="J118" i="28"/>
  <c r="J116" i="28"/>
  <c r="J112" i="28"/>
  <c r="J92" i="28"/>
  <c r="J80" i="28"/>
  <c r="J72" i="28"/>
  <c r="J64" i="28"/>
  <c r="J156" i="28"/>
  <c r="J139" i="28"/>
  <c r="J138" i="28"/>
  <c r="J137" i="28"/>
  <c r="J104" i="28"/>
  <c r="J91" i="28"/>
  <c r="J79" i="28"/>
  <c r="J71" i="28"/>
  <c r="J63" i="28"/>
  <c r="J162" i="28"/>
  <c r="J140" i="28"/>
  <c r="J124" i="28"/>
  <c r="J96" i="28"/>
  <c r="J90" i="28"/>
  <c r="J78" i="28"/>
  <c r="J70" i="28"/>
  <c r="J62" i="28"/>
  <c r="J56" i="28"/>
  <c r="J153" i="28"/>
  <c r="J135" i="28"/>
  <c r="J101" i="28"/>
  <c r="J61" i="28"/>
  <c r="J110" i="28"/>
  <c r="J136" i="28"/>
  <c r="J102" i="28"/>
  <c r="J89" i="28"/>
  <c r="J77" i="28"/>
  <c r="J69" i="28"/>
  <c r="J154" i="28"/>
  <c r="J128" i="28"/>
  <c r="J111" i="28"/>
  <c r="J115" i="28"/>
  <c r="J109" i="28"/>
  <c r="Z160" i="28"/>
  <c r="H27" i="23"/>
  <c r="N18" i="23"/>
  <c r="D31" i="29"/>
  <c r="L238" i="18"/>
  <c r="H27" i="13"/>
  <c r="N18" i="13"/>
  <c r="T36" i="17"/>
  <c r="Z36" i="17" s="1"/>
  <c r="R254" i="3"/>
  <c r="P27" i="14"/>
  <c r="X18" i="14"/>
  <c r="H27" i="7"/>
  <c r="N18" i="7"/>
  <c r="X18" i="4"/>
  <c r="P27" i="4"/>
  <c r="T37" i="84"/>
  <c r="F37" i="78"/>
  <c r="F30" i="78"/>
  <c r="F25" i="78"/>
  <c r="F16" i="78"/>
  <c r="F24" i="78"/>
  <c r="L12" i="78"/>
  <c r="N12" i="78" s="1"/>
  <c r="F17" i="78"/>
  <c r="F18" i="78"/>
  <c r="F34" i="78"/>
  <c r="F22" i="78"/>
  <c r="F26" i="78"/>
  <c r="F23" i="78"/>
  <c r="F28" i="78"/>
  <c r="F32" i="78"/>
  <c r="F20" i="78"/>
  <c r="D20" i="78"/>
  <c r="J80" i="73"/>
  <c r="J74" i="73"/>
  <c r="J70" i="73"/>
  <c r="J78" i="73"/>
  <c r="J72" i="73"/>
  <c r="J58" i="73"/>
  <c r="J52" i="73"/>
  <c r="J44" i="73"/>
  <c r="J40" i="73"/>
  <c r="J28" i="73"/>
  <c r="J18" i="73"/>
  <c r="J61" i="73"/>
  <c r="J55" i="73"/>
  <c r="J49" i="73"/>
  <c r="J39" i="73"/>
  <c r="J35" i="73"/>
  <c r="J27" i="73"/>
  <c r="J23" i="73"/>
  <c r="J66" i="73"/>
  <c r="J54" i="73"/>
  <c r="J46" i="73"/>
  <c r="J38" i="73"/>
  <c r="J34" i="73"/>
  <c r="H23" i="73"/>
  <c r="L23" i="73" s="1"/>
  <c r="J69" i="73"/>
  <c r="J65" i="73"/>
  <c r="J57" i="73"/>
  <c r="J51" i="73"/>
  <c r="J43" i="73"/>
  <c r="J37" i="73"/>
  <c r="J33" i="73"/>
  <c r="J25" i="73"/>
  <c r="J21" i="73"/>
  <c r="J83" i="73"/>
  <c r="J76" i="73"/>
  <c r="J68" i="73"/>
  <c r="J64" i="73"/>
  <c r="J60" i="73"/>
  <c r="J48" i="73"/>
  <c r="J32" i="73"/>
  <c r="J26" i="73"/>
  <c r="J20" i="73"/>
  <c r="N12" i="73"/>
  <c r="J62" i="73"/>
  <c r="J56" i="73"/>
  <c r="J50" i="73"/>
  <c r="J42" i="73"/>
  <c r="J36" i="73"/>
  <c r="J30" i="73"/>
  <c r="J71" i="73"/>
  <c r="J29" i="73"/>
  <c r="J67" i="73"/>
  <c r="J19" i="73"/>
  <c r="J63" i="73"/>
  <c r="J59" i="73"/>
  <c r="J41" i="73"/>
  <c r="J53" i="73"/>
  <c r="J47" i="73"/>
  <c r="J45" i="73"/>
  <c r="J31" i="73"/>
  <c r="X16" i="58"/>
  <c r="P69" i="58"/>
  <c r="D27" i="46"/>
  <c r="L18" i="46"/>
  <c r="P31" i="38"/>
  <c r="X18" i="100"/>
  <c r="P27" i="100"/>
  <c r="H27" i="98"/>
  <c r="N18" i="98"/>
  <c r="T27" i="98"/>
  <c r="Z18" i="98"/>
  <c r="D24" i="96"/>
  <c r="L16" i="96"/>
  <c r="X18" i="98"/>
  <c r="T64" i="97"/>
  <c r="H81" i="95"/>
  <c r="N21" i="95"/>
  <c r="H26" i="93"/>
  <c r="N16" i="93"/>
  <c r="D79" i="92"/>
  <c r="F21" i="92"/>
  <c r="N18" i="90"/>
  <c r="H47" i="90"/>
  <c r="R87" i="94"/>
  <c r="R81" i="94"/>
  <c r="R78" i="94"/>
  <c r="R73" i="94"/>
  <c r="R80" i="94"/>
  <c r="R71" i="94"/>
  <c r="R79" i="94"/>
  <c r="R75" i="94"/>
  <c r="R56" i="94"/>
  <c r="R53" i="94"/>
  <c r="R48" i="94"/>
  <c r="R45" i="94"/>
  <c r="R40" i="94"/>
  <c r="R28" i="94"/>
  <c r="R17" i="94"/>
  <c r="R83" i="94"/>
  <c r="R74" i="94"/>
  <c r="R39" i="94"/>
  <c r="R66" i="94"/>
  <c r="R58" i="94"/>
  <c r="R55" i="94"/>
  <c r="R50" i="94"/>
  <c r="R47" i="94"/>
  <c r="R42" i="94"/>
  <c r="R38" i="94"/>
  <c r="R26" i="94"/>
  <c r="R77" i="94"/>
  <c r="R76" i="94"/>
  <c r="R65" i="94"/>
  <c r="R61" i="94"/>
  <c r="R37" i="94"/>
  <c r="R33" i="94"/>
  <c r="R25" i="94"/>
  <c r="R23" i="94"/>
  <c r="P21" i="94"/>
  <c r="R21" i="94" s="1"/>
  <c r="R68" i="94"/>
  <c r="R63" i="94"/>
  <c r="R70" i="94"/>
  <c r="R60" i="94"/>
  <c r="R49" i="94"/>
  <c r="R35" i="94"/>
  <c r="R43" i="94"/>
  <c r="R36" i="94"/>
  <c r="R57" i="94"/>
  <c r="R51" i="94"/>
  <c r="R46" i="94"/>
  <c r="R44" i="94"/>
  <c r="X12" i="94"/>
  <c r="Z12" i="94" s="1"/>
  <c r="R67" i="94"/>
  <c r="R62" i="94"/>
  <c r="R54" i="94"/>
  <c r="R52" i="94"/>
  <c r="R30" i="94"/>
  <c r="R29" i="94"/>
  <c r="R24" i="94"/>
  <c r="R31" i="94"/>
  <c r="R72" i="94"/>
  <c r="R69" i="94"/>
  <c r="R59" i="94"/>
  <c r="R19" i="94"/>
  <c r="R27" i="94"/>
  <c r="R34" i="94"/>
  <c r="R32" i="94"/>
  <c r="R18" i="94"/>
  <c r="R41" i="94"/>
  <c r="R64" i="94"/>
  <c r="H33" i="82"/>
  <c r="N16" i="82"/>
  <c r="T45" i="83"/>
  <c r="X76" i="70"/>
  <c r="Z76" i="70" s="1"/>
  <c r="V74" i="73"/>
  <c r="V68" i="73"/>
  <c r="V64" i="73"/>
  <c r="V60" i="73"/>
  <c r="V56" i="73"/>
  <c r="V48" i="73"/>
  <c r="V36" i="73"/>
  <c r="V32" i="73"/>
  <c r="V20" i="73"/>
  <c r="V71" i="73"/>
  <c r="V67" i="73"/>
  <c r="V63" i="73"/>
  <c r="V59" i="73"/>
  <c r="V47" i="73"/>
  <c r="V31" i="73"/>
  <c r="V19" i="73"/>
  <c r="V78" i="73"/>
  <c r="V72" i="73"/>
  <c r="V62" i="73"/>
  <c r="V58" i="73"/>
  <c r="V50" i="73"/>
  <c r="V42" i="73"/>
  <c r="V30" i="73"/>
  <c r="V18" i="73"/>
  <c r="V61" i="73"/>
  <c r="V49" i="73"/>
  <c r="V41" i="73"/>
  <c r="V29" i="73"/>
  <c r="V25" i="73"/>
  <c r="V23" i="73"/>
  <c r="V52" i="73"/>
  <c r="V44" i="73"/>
  <c r="V40" i="73"/>
  <c r="V28" i="73"/>
  <c r="T23" i="73"/>
  <c r="V70" i="73"/>
  <c r="V69" i="73"/>
  <c r="V66" i="73"/>
  <c r="V54" i="73"/>
  <c r="V46" i="73"/>
  <c r="V38" i="73"/>
  <c r="V34" i="73"/>
  <c r="V26" i="73"/>
  <c r="V37" i="73"/>
  <c r="V55" i="73"/>
  <c r="V45" i="73"/>
  <c r="V43" i="73"/>
  <c r="V27" i="73"/>
  <c r="V53" i="73"/>
  <c r="V51" i="73"/>
  <c r="V39" i="73"/>
  <c r="V35" i="73"/>
  <c r="V33" i="73"/>
  <c r="V65" i="73"/>
  <c r="V21" i="73"/>
  <c r="V57" i="73"/>
  <c r="V98" i="71"/>
  <c r="V88" i="71"/>
  <c r="V76" i="71"/>
  <c r="V68" i="71"/>
  <c r="V56" i="71"/>
  <c r="V52" i="71"/>
  <c r="V50" i="71"/>
  <c r="V44" i="71"/>
  <c r="V36" i="71"/>
  <c r="V93" i="71"/>
  <c r="V79" i="71"/>
  <c r="V75" i="71"/>
  <c r="V67" i="71"/>
  <c r="V55" i="71"/>
  <c r="T50" i="71"/>
  <c r="V43" i="71"/>
  <c r="V35" i="71"/>
  <c r="V78" i="71"/>
  <c r="V70" i="71"/>
  <c r="V66" i="71"/>
  <c r="V62" i="71"/>
  <c r="V54" i="71"/>
  <c r="V42" i="71"/>
  <c r="V91" i="71"/>
  <c r="V85" i="71"/>
  <c r="V81" i="71"/>
  <c r="V69" i="71"/>
  <c r="V65" i="71"/>
  <c r="V61" i="71"/>
  <c r="V53" i="71"/>
  <c r="V41" i="71"/>
  <c r="V92" i="71"/>
  <c r="V86" i="71"/>
  <c r="V82" i="71"/>
  <c r="V74" i="71"/>
  <c r="V58" i="71"/>
  <c r="V46" i="71"/>
  <c r="V38" i="71"/>
  <c r="V94" i="71"/>
  <c r="V84" i="71"/>
  <c r="V80" i="71"/>
  <c r="V73" i="71"/>
  <c r="V64" i="71"/>
  <c r="V48" i="71"/>
  <c r="V40" i="71"/>
  <c r="V37" i="71"/>
  <c r="V71" i="71"/>
  <c r="V59" i="71"/>
  <c r="V45" i="71"/>
  <c r="V87" i="71"/>
  <c r="V72" i="71"/>
  <c r="V60" i="71"/>
  <c r="V77" i="71"/>
  <c r="V47" i="71"/>
  <c r="V83" i="71"/>
  <c r="V39" i="71"/>
  <c r="V89" i="71"/>
  <c r="V57" i="71"/>
  <c r="V63" i="71"/>
  <c r="R92" i="71"/>
  <c r="R89" i="71"/>
  <c r="R86" i="71"/>
  <c r="R82" i="71"/>
  <c r="R77" i="71"/>
  <c r="R57" i="71"/>
  <c r="R45" i="71"/>
  <c r="R37" i="71"/>
  <c r="R98" i="71"/>
  <c r="R76" i="71"/>
  <c r="R73" i="71"/>
  <c r="R68" i="71"/>
  <c r="R56" i="71"/>
  <c r="R44" i="71"/>
  <c r="R36" i="71"/>
  <c r="R88" i="71"/>
  <c r="R79" i="71"/>
  <c r="R67" i="71"/>
  <c r="R55" i="71"/>
  <c r="R50" i="71"/>
  <c r="R43" i="71"/>
  <c r="R93" i="71"/>
  <c r="R75" i="71"/>
  <c r="R70" i="71"/>
  <c r="R66" i="71"/>
  <c r="R62" i="71"/>
  <c r="R54" i="71"/>
  <c r="R52" i="71"/>
  <c r="P50" i="71"/>
  <c r="R42" i="71"/>
  <c r="R35" i="71"/>
  <c r="R94" i="71"/>
  <c r="R87" i="71"/>
  <c r="R83" i="71"/>
  <c r="R80" i="71"/>
  <c r="R59" i="71"/>
  <c r="R47" i="71"/>
  <c r="R39" i="71"/>
  <c r="R91" i="71"/>
  <c r="R85" i="71"/>
  <c r="R84" i="71"/>
  <c r="R65" i="71"/>
  <c r="R64" i="71"/>
  <c r="R48" i="71"/>
  <c r="R41" i="71"/>
  <c r="R40" i="71"/>
  <c r="R81" i="71"/>
  <c r="R74" i="71"/>
  <c r="R71" i="71"/>
  <c r="R38" i="71"/>
  <c r="R53" i="71"/>
  <c r="R46" i="71"/>
  <c r="X12" i="71"/>
  <c r="Z12" i="71" s="1"/>
  <c r="R78" i="71"/>
  <c r="R69" i="71"/>
  <c r="R63" i="71"/>
  <c r="R58" i="71"/>
  <c r="R72" i="71"/>
  <c r="R61" i="71"/>
  <c r="R60" i="71"/>
  <c r="V134" i="69"/>
  <c r="V126" i="69"/>
  <c r="V122" i="69"/>
  <c r="V110" i="69"/>
  <c r="V90" i="69"/>
  <c r="V78" i="69"/>
  <c r="V70" i="69"/>
  <c r="V62" i="69"/>
  <c r="V143" i="69"/>
  <c r="V137" i="69"/>
  <c r="V133" i="69"/>
  <c r="V129" i="69"/>
  <c r="V125" i="69"/>
  <c r="V121" i="69"/>
  <c r="V113" i="69"/>
  <c r="V109" i="69"/>
  <c r="V101" i="69"/>
  <c r="V89" i="69"/>
  <c r="V85" i="69"/>
  <c r="V77" i="69"/>
  <c r="V69" i="69"/>
  <c r="V61" i="69"/>
  <c r="V136" i="69"/>
  <c r="V132" i="69"/>
  <c r="V128" i="69"/>
  <c r="V124" i="69"/>
  <c r="V112" i="69"/>
  <c r="V100" i="69"/>
  <c r="V88" i="69"/>
  <c r="T83" i="69"/>
  <c r="V83" i="69" s="1"/>
  <c r="V76" i="69"/>
  <c r="V68" i="69"/>
  <c r="V60" i="69"/>
  <c r="V149" i="69"/>
  <c r="V139" i="69"/>
  <c r="V131" i="69"/>
  <c r="V127" i="69"/>
  <c r="V115" i="69"/>
  <c r="V111" i="69"/>
  <c r="V103" i="69"/>
  <c r="V99" i="69"/>
  <c r="V87" i="69"/>
  <c r="V75" i="69"/>
  <c r="V67" i="69"/>
  <c r="V59" i="69"/>
  <c r="V144" i="69"/>
  <c r="V138" i="69"/>
  <c r="V130" i="69"/>
  <c r="V118" i="69"/>
  <c r="V114" i="69"/>
  <c r="V106" i="69"/>
  <c r="V102" i="69"/>
  <c r="V98" i="69"/>
  <c r="V94" i="69"/>
  <c r="V86" i="69"/>
  <c r="V74" i="69"/>
  <c r="V66" i="69"/>
  <c r="V58" i="69"/>
  <c r="V140" i="69"/>
  <c r="V120" i="69"/>
  <c r="V116" i="69"/>
  <c r="V108" i="69"/>
  <c r="V104" i="69"/>
  <c r="V96" i="69"/>
  <c r="V92" i="69"/>
  <c r="V80" i="69"/>
  <c r="V72" i="69"/>
  <c r="V64" i="69"/>
  <c r="V56" i="69"/>
  <c r="V145" i="69"/>
  <c r="V135" i="69"/>
  <c r="V123" i="69"/>
  <c r="V119" i="69"/>
  <c r="V107" i="69"/>
  <c r="V95" i="69"/>
  <c r="V91" i="69"/>
  <c r="V79" i="69"/>
  <c r="V71" i="69"/>
  <c r="V63" i="69"/>
  <c r="V57" i="69"/>
  <c r="V117" i="69"/>
  <c r="V105" i="69"/>
  <c r="V97" i="69"/>
  <c r="V141" i="69"/>
  <c r="V65" i="69"/>
  <c r="V73" i="69"/>
  <c r="V81" i="69"/>
  <c r="V93" i="69"/>
  <c r="F149" i="69"/>
  <c r="F139" i="69"/>
  <c r="F131" i="69"/>
  <c r="F115" i="69"/>
  <c r="F103" i="69"/>
  <c r="F99" i="69"/>
  <c r="F87" i="69"/>
  <c r="F75" i="69"/>
  <c r="F67" i="69"/>
  <c r="F59" i="69"/>
  <c r="F143" i="69"/>
  <c r="F121" i="69"/>
  <c r="F118" i="69"/>
  <c r="F109" i="69"/>
  <c r="F106" i="69"/>
  <c r="F98" i="69"/>
  <c r="F94" i="69"/>
  <c r="F74" i="69"/>
  <c r="F66" i="69"/>
  <c r="F58" i="69"/>
  <c r="F141" i="69"/>
  <c r="F136" i="69"/>
  <c r="F124" i="69"/>
  <c r="F117" i="69"/>
  <c r="F105" i="69"/>
  <c r="F97" i="69"/>
  <c r="F93" i="69"/>
  <c r="D83" i="69"/>
  <c r="F81" i="69"/>
  <c r="F73" i="69"/>
  <c r="F65" i="69"/>
  <c r="F57" i="69"/>
  <c r="F127" i="69"/>
  <c r="F120" i="69"/>
  <c r="F111" i="69"/>
  <c r="F108" i="69"/>
  <c r="F96" i="69"/>
  <c r="F92" i="69"/>
  <c r="F80" i="69"/>
  <c r="F72" i="69"/>
  <c r="F64" i="69"/>
  <c r="F144" i="69"/>
  <c r="F138" i="69"/>
  <c r="F135" i="69"/>
  <c r="F130" i="69"/>
  <c r="F123" i="69"/>
  <c r="F114" i="69"/>
  <c r="F102" i="69"/>
  <c r="F91" i="69"/>
  <c r="F86" i="69"/>
  <c r="F85" i="69"/>
  <c r="F79" i="69"/>
  <c r="F71" i="69"/>
  <c r="F63" i="69"/>
  <c r="F140" i="69"/>
  <c r="F137" i="69"/>
  <c r="F133" i="69"/>
  <c r="F129" i="69"/>
  <c r="F125" i="69"/>
  <c r="F116" i="69"/>
  <c r="F113" i="69"/>
  <c r="F104" i="69"/>
  <c r="F101" i="69"/>
  <c r="F89" i="69"/>
  <c r="F77" i="69"/>
  <c r="F69" i="69"/>
  <c r="F61" i="69"/>
  <c r="F56" i="69"/>
  <c r="F145" i="69"/>
  <c r="F132" i="69"/>
  <c r="F128" i="69"/>
  <c r="F119" i="69"/>
  <c r="F112" i="69"/>
  <c r="F107" i="69"/>
  <c r="F100" i="69"/>
  <c r="F95" i="69"/>
  <c r="F88" i="69"/>
  <c r="F76" i="69"/>
  <c r="F68" i="69"/>
  <c r="F60" i="69"/>
  <c r="L12" i="69"/>
  <c r="F78" i="69"/>
  <c r="F134" i="69"/>
  <c r="F110" i="69"/>
  <c r="F62" i="69"/>
  <c r="F122" i="69"/>
  <c r="F90" i="69"/>
  <c r="F70" i="69"/>
  <c r="F126" i="69"/>
  <c r="J63" i="65"/>
  <c r="J57" i="65"/>
  <c r="J53" i="65"/>
  <c r="J43" i="65"/>
  <c r="J35" i="65"/>
  <c r="J29" i="65"/>
  <c r="H22" i="65"/>
  <c r="J46" i="65"/>
  <c r="J40" i="65"/>
  <c r="J32" i="65"/>
  <c r="J24" i="65"/>
  <c r="J20" i="65"/>
  <c r="N12" i="65"/>
  <c r="J61" i="65"/>
  <c r="J55" i="65"/>
  <c r="J49" i="65"/>
  <c r="J37" i="65"/>
  <c r="J25" i="65"/>
  <c r="J19" i="65"/>
  <c r="J52" i="65"/>
  <c r="J42" i="65"/>
  <c r="J34" i="65"/>
  <c r="J28" i="65"/>
  <c r="J66" i="65"/>
  <c r="J59" i="65"/>
  <c r="J45" i="65"/>
  <c r="J39" i="65"/>
  <c r="J31" i="65"/>
  <c r="J51" i="65"/>
  <c r="J47" i="65"/>
  <c r="J41" i="65"/>
  <c r="J33" i="65"/>
  <c r="J27" i="65"/>
  <c r="J50" i="65"/>
  <c r="J38" i="65"/>
  <c r="J30" i="65"/>
  <c r="J26" i="65"/>
  <c r="J22" i="65"/>
  <c r="J54" i="65"/>
  <c r="J18" i="65"/>
  <c r="J48" i="65"/>
  <c r="J36" i="65"/>
  <c r="J44" i="65"/>
  <c r="P147" i="69"/>
  <c r="D65" i="57"/>
  <c r="L61" i="57"/>
  <c r="H50" i="60"/>
  <c r="R78" i="64"/>
  <c r="R74" i="64"/>
  <c r="R67" i="64"/>
  <c r="R55" i="64"/>
  <c r="R50" i="64"/>
  <c r="R73" i="64"/>
  <c r="R70" i="64"/>
  <c r="R61" i="64"/>
  <c r="R58" i="64"/>
  <c r="R49" i="64"/>
  <c r="R45" i="64"/>
  <c r="R86" i="64"/>
  <c r="R80" i="64"/>
  <c r="R77" i="64"/>
  <c r="R52" i="64"/>
  <c r="R48" i="64"/>
  <c r="R44" i="64"/>
  <c r="R72" i="64"/>
  <c r="R63" i="64"/>
  <c r="R60" i="64"/>
  <c r="R47" i="64"/>
  <c r="R43" i="64"/>
  <c r="R41" i="64"/>
  <c r="P39" i="64"/>
  <c r="R79" i="64"/>
  <c r="R66" i="64"/>
  <c r="R54" i="64"/>
  <c r="R51" i="64"/>
  <c r="R76" i="64"/>
  <c r="R68" i="64"/>
  <c r="R56" i="64"/>
  <c r="R53" i="64"/>
  <c r="R82" i="64"/>
  <c r="R75" i="64"/>
  <c r="R71" i="64"/>
  <c r="R64" i="64"/>
  <c r="R59" i="64"/>
  <c r="R34" i="64"/>
  <c r="R27" i="64"/>
  <c r="R46" i="64"/>
  <c r="R33" i="64"/>
  <c r="R65" i="64"/>
  <c r="R32" i="64"/>
  <c r="R31" i="64"/>
  <c r="R69" i="64"/>
  <c r="R30" i="64"/>
  <c r="R57" i="64"/>
  <c r="R37" i="64"/>
  <c r="R36" i="64"/>
  <c r="R28" i="64"/>
  <c r="X12" i="64"/>
  <c r="R62" i="64"/>
  <c r="R42" i="64"/>
  <c r="R35" i="64"/>
  <c r="R29" i="64"/>
  <c r="P31" i="53"/>
  <c r="D31" i="50"/>
  <c r="R98" i="51"/>
  <c r="R76" i="51"/>
  <c r="R73" i="51"/>
  <c r="R68" i="51"/>
  <c r="R56" i="51"/>
  <c r="R88" i="51"/>
  <c r="R79" i="51"/>
  <c r="R93" i="51"/>
  <c r="R75" i="51"/>
  <c r="R70" i="51"/>
  <c r="R66" i="51"/>
  <c r="R62" i="51"/>
  <c r="R54" i="51"/>
  <c r="R52" i="51"/>
  <c r="P50" i="51"/>
  <c r="R42" i="51"/>
  <c r="R35" i="51"/>
  <c r="R85" i="51"/>
  <c r="R81" i="51"/>
  <c r="R78" i="51"/>
  <c r="R65" i="51"/>
  <c r="R61" i="51"/>
  <c r="R91" i="51"/>
  <c r="R84" i="51"/>
  <c r="R94" i="51"/>
  <c r="R87" i="51"/>
  <c r="R83" i="51"/>
  <c r="R80" i="51"/>
  <c r="R59" i="51"/>
  <c r="R74" i="51"/>
  <c r="R71" i="51"/>
  <c r="R63" i="51"/>
  <c r="R58" i="51"/>
  <c r="R46" i="51"/>
  <c r="R38" i="51"/>
  <c r="R92" i="51"/>
  <c r="R89" i="51"/>
  <c r="R86" i="51"/>
  <c r="R82" i="51"/>
  <c r="R77" i="51"/>
  <c r="R57" i="51"/>
  <c r="R45" i="51"/>
  <c r="R37" i="51"/>
  <c r="R67" i="51"/>
  <c r="R64" i="51"/>
  <c r="R72" i="51"/>
  <c r="X12" i="51"/>
  <c r="R39" i="51"/>
  <c r="R53" i="51"/>
  <c r="R47" i="51"/>
  <c r="R40" i="51"/>
  <c r="R36" i="51"/>
  <c r="R60" i="51"/>
  <c r="R55" i="51"/>
  <c r="R44" i="51"/>
  <c r="R43" i="51"/>
  <c r="R41" i="51"/>
  <c r="R48" i="51"/>
  <c r="R50" i="51"/>
  <c r="R69" i="51"/>
  <c r="J91" i="51"/>
  <c r="J87" i="51"/>
  <c r="J83" i="51"/>
  <c r="J69" i="51"/>
  <c r="J59" i="51"/>
  <c r="J53" i="51"/>
  <c r="J94" i="51"/>
  <c r="J80" i="51"/>
  <c r="J89" i="51"/>
  <c r="J77" i="51"/>
  <c r="J71" i="51"/>
  <c r="J63" i="51"/>
  <c r="J57" i="51"/>
  <c r="J45" i="51"/>
  <c r="J37" i="51"/>
  <c r="J98" i="51"/>
  <c r="J92" i="51"/>
  <c r="J86" i="51"/>
  <c r="J82" i="51"/>
  <c r="J76" i="51"/>
  <c r="J68" i="51"/>
  <c r="J56" i="51"/>
  <c r="J79" i="51"/>
  <c r="J88" i="51"/>
  <c r="J70" i="51"/>
  <c r="J66" i="51"/>
  <c r="J62" i="51"/>
  <c r="J93" i="51"/>
  <c r="J85" i="51"/>
  <c r="J81" i="51"/>
  <c r="J75" i="51"/>
  <c r="J65" i="51"/>
  <c r="J61" i="51"/>
  <c r="H50" i="51"/>
  <c r="J41" i="51"/>
  <c r="J35" i="51"/>
  <c r="J84" i="51"/>
  <c r="J78" i="51"/>
  <c r="J72" i="51"/>
  <c r="J64" i="51"/>
  <c r="J60" i="51"/>
  <c r="J52" i="51"/>
  <c r="J48" i="51"/>
  <c r="J40" i="51"/>
  <c r="J42" i="51"/>
  <c r="J36" i="51"/>
  <c r="J55" i="51"/>
  <c r="J43" i="51"/>
  <c r="J67" i="51"/>
  <c r="J58" i="51"/>
  <c r="J44" i="51"/>
  <c r="J73" i="51"/>
  <c r="J38" i="51"/>
  <c r="J46" i="51"/>
  <c r="J74" i="51"/>
  <c r="J47" i="51"/>
  <c r="J54" i="51"/>
  <c r="J50" i="51"/>
  <c r="N12" i="51"/>
  <c r="J39" i="51"/>
  <c r="J103" i="42"/>
  <c r="H27" i="46"/>
  <c r="N18" i="46"/>
  <c r="P31" i="47"/>
  <c r="X27" i="47"/>
  <c r="T92" i="45"/>
  <c r="X18" i="29"/>
  <c r="P27" i="29"/>
  <c r="J110" i="39"/>
  <c r="J106" i="39"/>
  <c r="J100" i="39"/>
  <c r="J94" i="39"/>
  <c r="J86" i="39"/>
  <c r="J82" i="39"/>
  <c r="J78" i="39"/>
  <c r="J70" i="39"/>
  <c r="J64" i="39"/>
  <c r="J58" i="39"/>
  <c r="J46" i="39"/>
  <c r="J42" i="39"/>
  <c r="J34" i="39"/>
  <c r="J30" i="39"/>
  <c r="J113" i="39"/>
  <c r="J105" i="39"/>
  <c r="J93" i="39"/>
  <c r="J89" i="39"/>
  <c r="J85" i="39"/>
  <c r="J75" i="39"/>
  <c r="J61" i="39"/>
  <c r="J55" i="39"/>
  <c r="J41" i="39"/>
  <c r="J35" i="39"/>
  <c r="J29" i="39"/>
  <c r="J108" i="39"/>
  <c r="J102" i="39"/>
  <c r="J92" i="39"/>
  <c r="J84" i="39"/>
  <c r="J72" i="39"/>
  <c r="J66" i="39"/>
  <c r="J60" i="39"/>
  <c r="J52" i="39"/>
  <c r="J40" i="39"/>
  <c r="J28" i="39"/>
  <c r="J117" i="39"/>
  <c r="J111" i="39"/>
  <c r="J99" i="39"/>
  <c r="J91" i="39"/>
  <c r="J81" i="39"/>
  <c r="J77" i="39"/>
  <c r="J69" i="39"/>
  <c r="J63" i="39"/>
  <c r="J57" i="39"/>
  <c r="J51" i="39"/>
  <c r="J45" i="39"/>
  <c r="J39" i="39"/>
  <c r="J112" i="39"/>
  <c r="J96" i="39"/>
  <c r="J90" i="39"/>
  <c r="J80" i="39"/>
  <c r="J76" i="39"/>
  <c r="J68" i="39"/>
  <c r="J62" i="39"/>
  <c r="J56" i="39"/>
  <c r="J48" i="39"/>
  <c r="J44" i="39"/>
  <c r="J36" i="39"/>
  <c r="J103" i="39"/>
  <c r="J95" i="39"/>
  <c r="J87" i="39"/>
  <c r="J79" i="39"/>
  <c r="J73" i="39"/>
  <c r="J67" i="39"/>
  <c r="J53" i="39"/>
  <c r="J47" i="39"/>
  <c r="J43" i="39"/>
  <c r="H32" i="39"/>
  <c r="J32" i="39" s="1"/>
  <c r="J83" i="39"/>
  <c r="J54" i="39"/>
  <c r="J107" i="39"/>
  <c r="J101" i="39"/>
  <c r="J59" i="39"/>
  <c r="J50" i="39"/>
  <c r="J37" i="39"/>
  <c r="J27" i="39"/>
  <c r="J97" i="39"/>
  <c r="J71" i="39"/>
  <c r="J98" i="39"/>
  <c r="J88" i="39"/>
  <c r="J38" i="39"/>
  <c r="J104" i="39"/>
  <c r="J74" i="39"/>
  <c r="J65" i="39"/>
  <c r="J49" i="39"/>
  <c r="T27" i="40"/>
  <c r="Z18" i="40"/>
  <c r="H92" i="45"/>
  <c r="N21" i="45"/>
  <c r="L163" i="34"/>
  <c r="N163" i="34" s="1"/>
  <c r="D36" i="40"/>
  <c r="H27" i="22"/>
  <c r="N18" i="22"/>
  <c r="R97" i="21"/>
  <c r="R91" i="21"/>
  <c r="R88" i="21"/>
  <c r="R93" i="21"/>
  <c r="R82" i="21"/>
  <c r="R78" i="21"/>
  <c r="R70" i="21"/>
  <c r="R67" i="21"/>
  <c r="R62" i="21"/>
  <c r="R59" i="21"/>
  <c r="R46" i="21"/>
  <c r="R42" i="21"/>
  <c r="R34" i="21"/>
  <c r="R32" i="21"/>
  <c r="P30" i="21"/>
  <c r="R89" i="21"/>
  <c r="R86" i="21"/>
  <c r="R81" i="21"/>
  <c r="R77" i="21"/>
  <c r="R73" i="21"/>
  <c r="R53" i="21"/>
  <c r="R50" i="21"/>
  <c r="R45" i="21"/>
  <c r="R41" i="21"/>
  <c r="R87" i="21"/>
  <c r="R76" i="21"/>
  <c r="R61" i="21"/>
  <c r="R44" i="21"/>
  <c r="R43" i="21"/>
  <c r="R75" i="21"/>
  <c r="R68" i="21"/>
  <c r="R55" i="21"/>
  <c r="R48" i="21"/>
  <c r="R47" i="21"/>
  <c r="R40" i="21"/>
  <c r="R36" i="21"/>
  <c r="R35" i="21"/>
  <c r="X12" i="21"/>
  <c r="Z12" i="21" s="1"/>
  <c r="R84" i="21"/>
  <c r="R83" i="21"/>
  <c r="R74" i="21"/>
  <c r="R72" i="21"/>
  <c r="R54" i="21"/>
  <c r="R52" i="21"/>
  <c r="R49" i="21"/>
  <c r="R39" i="21"/>
  <c r="R38" i="21"/>
  <c r="R37" i="21"/>
  <c r="R33" i="21"/>
  <c r="R85" i="21"/>
  <c r="R60" i="21"/>
  <c r="R66" i="21"/>
  <c r="R28" i="21"/>
  <c r="R27" i="21"/>
  <c r="R71" i="21"/>
  <c r="R65" i="21"/>
  <c r="R51" i="21"/>
  <c r="R26" i="21"/>
  <c r="R69" i="21"/>
  <c r="R64" i="21"/>
  <c r="R63" i="21"/>
  <c r="R58" i="21"/>
  <c r="R57" i="21"/>
  <c r="R56" i="21"/>
  <c r="R25" i="21"/>
  <c r="R90" i="21"/>
  <c r="R79" i="21"/>
  <c r="R80" i="21"/>
  <c r="D27" i="19"/>
  <c r="L18" i="19"/>
  <c r="T27" i="20"/>
  <c r="Z18" i="20"/>
  <c r="H246" i="18"/>
  <c r="N27" i="17"/>
  <c r="H31" i="17"/>
  <c r="T27" i="11"/>
  <c r="Z18" i="11"/>
  <c r="Z18" i="13"/>
  <c r="T27" i="13"/>
  <c r="X18" i="8"/>
  <c r="P27" i="8"/>
  <c r="Z254" i="3"/>
  <c r="N27" i="5"/>
  <c r="H31" i="5"/>
  <c r="R72" i="70"/>
  <c r="R68" i="70"/>
  <c r="R77" i="70"/>
  <c r="R74" i="70"/>
  <c r="R71" i="70"/>
  <c r="R70" i="70"/>
  <c r="R81" i="70"/>
  <c r="R63" i="70"/>
  <c r="R59" i="70"/>
  <c r="R34" i="70"/>
  <c r="R32" i="70"/>
  <c r="P30" i="70"/>
  <c r="R30" i="70" s="1"/>
  <c r="R73" i="70"/>
  <c r="R67" i="70"/>
  <c r="R53" i="70"/>
  <c r="R50" i="70"/>
  <c r="R45" i="70"/>
  <c r="R41" i="70"/>
  <c r="R66" i="70"/>
  <c r="R56" i="70"/>
  <c r="R44" i="70"/>
  <c r="R40" i="70"/>
  <c r="R33" i="70"/>
  <c r="R28" i="70"/>
  <c r="X12" i="70"/>
  <c r="Z12" i="70" s="1"/>
  <c r="R76" i="70"/>
  <c r="R65" i="70"/>
  <c r="R55" i="70"/>
  <c r="R52" i="70"/>
  <c r="R47" i="70"/>
  <c r="R43" i="70"/>
  <c r="R39" i="70"/>
  <c r="R61" i="70"/>
  <c r="R54" i="70"/>
  <c r="R49" i="70"/>
  <c r="R46" i="70"/>
  <c r="R42" i="70"/>
  <c r="R37" i="70"/>
  <c r="R69" i="70"/>
  <c r="R64" i="70"/>
  <c r="R60" i="70"/>
  <c r="R57" i="70"/>
  <c r="R36" i="70"/>
  <c r="R58" i="70"/>
  <c r="R35" i="70"/>
  <c r="R51" i="70"/>
  <c r="R38" i="70"/>
  <c r="R62" i="70"/>
  <c r="R48" i="70"/>
  <c r="R27" i="70"/>
  <c r="P46" i="60"/>
  <c r="X16" i="60"/>
  <c r="N16" i="55"/>
  <c r="H30" i="55"/>
  <c r="L30" i="55" s="1"/>
  <c r="D34" i="55"/>
  <c r="D31" i="54"/>
  <c r="H27" i="38"/>
  <c r="N18" i="38"/>
  <c r="T27" i="100"/>
  <c r="Z18" i="100"/>
  <c r="H24" i="96"/>
  <c r="N16" i="96"/>
  <c r="Z16" i="96"/>
  <c r="T24" i="96"/>
  <c r="P34" i="89"/>
  <c r="X30" i="89"/>
  <c r="Z30" i="89" s="1"/>
  <c r="H29" i="87"/>
  <c r="T72" i="81"/>
  <c r="Z16" i="81"/>
  <c r="H39" i="80"/>
  <c r="R77" i="85"/>
  <c r="R74" i="85"/>
  <c r="R69" i="85"/>
  <c r="R61" i="85"/>
  <c r="R41" i="85"/>
  <c r="R38" i="85"/>
  <c r="R33" i="85"/>
  <c r="R29" i="85"/>
  <c r="R17" i="85"/>
  <c r="R68" i="85"/>
  <c r="R65" i="85"/>
  <c r="R57" i="85"/>
  <c r="R52" i="85"/>
  <c r="R49" i="85"/>
  <c r="R28" i="85"/>
  <c r="R82" i="85"/>
  <c r="R79" i="85"/>
  <c r="R76" i="85"/>
  <c r="R60" i="85"/>
  <c r="R43" i="85"/>
  <c r="R40" i="85"/>
  <c r="R32" i="85"/>
  <c r="R27" i="85"/>
  <c r="R16" i="85"/>
  <c r="R86" i="85"/>
  <c r="R72" i="85"/>
  <c r="R64" i="85"/>
  <c r="R56" i="85"/>
  <c r="R53" i="85"/>
  <c r="R48" i="85"/>
  <c r="R36" i="85"/>
  <c r="R24" i="85"/>
  <c r="R22" i="85"/>
  <c r="P20" i="85"/>
  <c r="X12" i="85"/>
  <c r="Z12" i="85" s="1"/>
  <c r="R66" i="85"/>
  <c r="R47" i="85"/>
  <c r="R46" i="85"/>
  <c r="R45" i="85"/>
  <c r="R18" i="85"/>
  <c r="R50" i="85"/>
  <c r="R34" i="85"/>
  <c r="R20" i="85"/>
  <c r="R70" i="85"/>
  <c r="R55" i="85"/>
  <c r="R54" i="85"/>
  <c r="R35" i="85"/>
  <c r="R23" i="85"/>
  <c r="R62" i="85"/>
  <c r="R39" i="85"/>
  <c r="R78" i="85"/>
  <c r="R67" i="85"/>
  <c r="R63" i="85"/>
  <c r="R37" i="85"/>
  <c r="R30" i="85"/>
  <c r="R26" i="85"/>
  <c r="R25" i="85"/>
  <c r="R81" i="85"/>
  <c r="R44" i="85"/>
  <c r="R73" i="85"/>
  <c r="R59" i="85"/>
  <c r="R71" i="85"/>
  <c r="R75" i="85"/>
  <c r="R51" i="85"/>
  <c r="R42" i="85"/>
  <c r="R31" i="85"/>
  <c r="R58" i="85"/>
  <c r="T29" i="87"/>
  <c r="V25" i="87"/>
  <c r="V18" i="84"/>
  <c r="D72" i="81"/>
  <c r="L16" i="81"/>
  <c r="J18" i="75"/>
  <c r="J31" i="75"/>
  <c r="J21" i="75"/>
  <c r="J27" i="75"/>
  <c r="J20" i="75"/>
  <c r="J25" i="75"/>
  <c r="J19" i="75"/>
  <c r="H23" i="75"/>
  <c r="J23" i="75"/>
  <c r="N12" i="75"/>
  <c r="J84" i="71"/>
  <c r="J78" i="71"/>
  <c r="J72" i="71"/>
  <c r="J64" i="71"/>
  <c r="J60" i="71"/>
  <c r="J52" i="71"/>
  <c r="J48" i="71"/>
  <c r="J40" i="71"/>
  <c r="J91" i="71"/>
  <c r="J87" i="71"/>
  <c r="J83" i="71"/>
  <c r="J69" i="71"/>
  <c r="J59" i="71"/>
  <c r="J53" i="71"/>
  <c r="J47" i="71"/>
  <c r="J39" i="71"/>
  <c r="J94" i="71"/>
  <c r="J80" i="71"/>
  <c r="J74" i="71"/>
  <c r="J58" i="71"/>
  <c r="J46" i="71"/>
  <c r="J38" i="71"/>
  <c r="J89" i="71"/>
  <c r="J77" i="71"/>
  <c r="J71" i="71"/>
  <c r="J63" i="71"/>
  <c r="J57" i="71"/>
  <c r="J45" i="71"/>
  <c r="J37" i="71"/>
  <c r="J88" i="71"/>
  <c r="J70" i="71"/>
  <c r="J66" i="71"/>
  <c r="J62" i="71"/>
  <c r="J54" i="71"/>
  <c r="J50" i="71"/>
  <c r="J42" i="71"/>
  <c r="J61" i="71"/>
  <c r="J43" i="71"/>
  <c r="J35" i="71"/>
  <c r="J68" i="71"/>
  <c r="J36" i="71"/>
  <c r="J98" i="71"/>
  <c r="J44" i="71"/>
  <c r="J93" i="71"/>
  <c r="J92" i="71"/>
  <c r="J86" i="71"/>
  <c r="J79" i="71"/>
  <c r="J55" i="71"/>
  <c r="J85" i="71"/>
  <c r="J65" i="71"/>
  <c r="J41" i="71"/>
  <c r="J81" i="71"/>
  <c r="J76" i="71"/>
  <c r="J67" i="71"/>
  <c r="H50" i="71"/>
  <c r="J73" i="71"/>
  <c r="N12" i="71"/>
  <c r="J56" i="71"/>
  <c r="J82" i="71"/>
  <c r="J75" i="71"/>
  <c r="T48" i="74"/>
  <c r="F88" i="71"/>
  <c r="F85" i="71"/>
  <c r="F81" i="71"/>
  <c r="F65" i="71"/>
  <c r="F61" i="71"/>
  <c r="F41" i="71"/>
  <c r="F93" i="71"/>
  <c r="F84" i="71"/>
  <c r="F75" i="71"/>
  <c r="F72" i="71"/>
  <c r="F64" i="71"/>
  <c r="F60" i="71"/>
  <c r="D50" i="71"/>
  <c r="F48" i="71"/>
  <c r="F40" i="71"/>
  <c r="F35" i="71"/>
  <c r="F87" i="71"/>
  <c r="F83" i="71"/>
  <c r="F78" i="71"/>
  <c r="F59" i="71"/>
  <c r="F47" i="71"/>
  <c r="F39" i="71"/>
  <c r="F91" i="71"/>
  <c r="F74" i="71"/>
  <c r="F69" i="71"/>
  <c r="F58" i="71"/>
  <c r="F53" i="71"/>
  <c r="F52" i="71"/>
  <c r="F46" i="71"/>
  <c r="F38" i="71"/>
  <c r="F92" i="71"/>
  <c r="F86" i="71"/>
  <c r="F82" i="71"/>
  <c r="F79" i="71"/>
  <c r="F67" i="71"/>
  <c r="F55" i="71"/>
  <c r="F43" i="71"/>
  <c r="F89" i="71"/>
  <c r="F57" i="71"/>
  <c r="F77" i="71"/>
  <c r="F62" i="71"/>
  <c r="F54" i="71"/>
  <c r="F68" i="71"/>
  <c r="F63" i="71"/>
  <c r="F36" i="71"/>
  <c r="F98" i="71"/>
  <c r="F44" i="71"/>
  <c r="F37" i="71"/>
  <c r="F94" i="71"/>
  <c r="F80" i="71"/>
  <c r="F70" i="71"/>
  <c r="F45" i="71"/>
  <c r="F71" i="71"/>
  <c r="F56" i="71"/>
  <c r="L12" i="71"/>
  <c r="F76" i="71"/>
  <c r="F73" i="71"/>
  <c r="F66" i="71"/>
  <c r="F42" i="71"/>
  <c r="T38" i="63"/>
  <c r="Z16" i="63"/>
  <c r="T69" i="58"/>
  <c r="Z16" i="58"/>
  <c r="X111" i="66"/>
  <c r="Z111" i="66" s="1"/>
  <c r="H65" i="57"/>
  <c r="N61" i="57"/>
  <c r="D56" i="59"/>
  <c r="L16" i="59"/>
  <c r="H50" i="61"/>
  <c r="X16" i="61"/>
  <c r="P46" i="61"/>
  <c r="T31" i="54"/>
  <c r="Z26" i="54"/>
  <c r="L17" i="48"/>
  <c r="D64" i="48"/>
  <c r="T27" i="38"/>
  <c r="X27" i="38" s="1"/>
  <c r="Z18" i="38"/>
  <c r="H27" i="33"/>
  <c r="L27" i="33" s="1"/>
  <c r="N18" i="33"/>
  <c r="D27" i="35"/>
  <c r="L18" i="35"/>
  <c r="R105" i="42"/>
  <c r="R92" i="42"/>
  <c r="R87" i="42"/>
  <c r="R79" i="42"/>
  <c r="R76" i="42"/>
  <c r="R95" i="42"/>
  <c r="R86" i="42"/>
  <c r="R71" i="42"/>
  <c r="R62" i="42"/>
  <c r="R59" i="42"/>
  <c r="R54" i="42"/>
  <c r="R51" i="42"/>
  <c r="R100" i="42"/>
  <c r="R89" i="42"/>
  <c r="R85" i="42"/>
  <c r="R78" i="42"/>
  <c r="R45" i="42"/>
  <c r="R42" i="42"/>
  <c r="R37" i="42"/>
  <c r="R33" i="42"/>
  <c r="R26" i="42"/>
  <c r="R21" i="42"/>
  <c r="R84" i="42"/>
  <c r="R68" i="42"/>
  <c r="R64" i="42"/>
  <c r="R61" i="42"/>
  <c r="R56" i="42"/>
  <c r="R53" i="42"/>
  <c r="R36" i="42"/>
  <c r="R32" i="42"/>
  <c r="R101" i="42"/>
  <c r="R94" i="42"/>
  <c r="R82" i="42"/>
  <c r="R74" i="42"/>
  <c r="R70" i="42"/>
  <c r="R66" i="42"/>
  <c r="R63" i="42"/>
  <c r="R58" i="42"/>
  <c r="R93" i="42"/>
  <c r="R90" i="42"/>
  <c r="R81" i="42"/>
  <c r="R77" i="42"/>
  <c r="R73" i="42"/>
  <c r="R49" i="42"/>
  <c r="R46" i="42"/>
  <c r="R41" i="42"/>
  <c r="R29" i="42"/>
  <c r="R99" i="42"/>
  <c r="R96" i="42"/>
  <c r="R80" i="42"/>
  <c r="R72" i="42"/>
  <c r="R69" i="42"/>
  <c r="R65" i="42"/>
  <c r="R60" i="42"/>
  <c r="R57" i="42"/>
  <c r="R52" i="42"/>
  <c r="R40" i="42"/>
  <c r="R28" i="42"/>
  <c r="R83" i="42"/>
  <c r="R48" i="42"/>
  <c r="R47" i="42"/>
  <c r="R39" i="42"/>
  <c r="R35" i="42"/>
  <c r="R98" i="42"/>
  <c r="R34" i="42"/>
  <c r="R30" i="42"/>
  <c r="R91" i="42"/>
  <c r="R88" i="42"/>
  <c r="R31" i="42"/>
  <c r="X12" i="42"/>
  <c r="Z12" i="42" s="1"/>
  <c r="R67" i="42"/>
  <c r="R38" i="42"/>
  <c r="P23" i="42"/>
  <c r="R27" i="42"/>
  <c r="R20" i="42"/>
  <c r="R55" i="42"/>
  <c r="R43" i="42"/>
  <c r="R25" i="42"/>
  <c r="R44" i="42"/>
  <c r="R19" i="42"/>
  <c r="R75" i="42"/>
  <c r="R50" i="42"/>
  <c r="F112" i="39"/>
  <c r="F103" i="39"/>
  <c r="F95" i="39"/>
  <c r="F90" i="39"/>
  <c r="F87" i="39"/>
  <c r="F79" i="39"/>
  <c r="F67" i="39"/>
  <c r="F62" i="39"/>
  <c r="F47" i="39"/>
  <c r="F43" i="39"/>
  <c r="F106" i="39"/>
  <c r="F94" i="39"/>
  <c r="F86" i="39"/>
  <c r="F82" i="39"/>
  <c r="F78" i="39"/>
  <c r="F73" i="39"/>
  <c r="F70" i="39"/>
  <c r="F58" i="39"/>
  <c r="F53" i="39"/>
  <c r="F46" i="39"/>
  <c r="F42" i="39"/>
  <c r="D32" i="39"/>
  <c r="F30" i="39"/>
  <c r="F110" i="39"/>
  <c r="F105" i="39"/>
  <c r="F100" i="39"/>
  <c r="F93" i="39"/>
  <c r="F89" i="39"/>
  <c r="F85" i="39"/>
  <c r="F64" i="39"/>
  <c r="F61" i="39"/>
  <c r="F41" i="39"/>
  <c r="F29" i="39"/>
  <c r="F113" i="39"/>
  <c r="F108" i="39"/>
  <c r="F92" i="39"/>
  <c r="F84" i="39"/>
  <c r="F75" i="39"/>
  <c r="F72" i="39"/>
  <c r="F60" i="39"/>
  <c r="F55" i="39"/>
  <c r="F52" i="39"/>
  <c r="F40" i="39"/>
  <c r="F35" i="39"/>
  <c r="F34" i="39"/>
  <c r="F28" i="39"/>
  <c r="L12" i="39"/>
  <c r="N12" i="39" s="1"/>
  <c r="F104" i="39"/>
  <c r="F101" i="39"/>
  <c r="F97" i="39"/>
  <c r="F88" i="39"/>
  <c r="F65" i="39"/>
  <c r="F49" i="39"/>
  <c r="F37" i="39"/>
  <c r="F107" i="39"/>
  <c r="F96" i="39"/>
  <c r="F83" i="39"/>
  <c r="F80" i="39"/>
  <c r="F76" i="39"/>
  <c r="F71" i="39"/>
  <c r="F68" i="39"/>
  <c r="F59" i="39"/>
  <c r="F56" i="39"/>
  <c r="F48" i="39"/>
  <c r="F44" i="39"/>
  <c r="F36" i="39"/>
  <c r="F27" i="39"/>
  <c r="F74" i="39"/>
  <c r="F57" i="39"/>
  <c r="F69" i="39"/>
  <c r="F54" i="39"/>
  <c r="F91" i="39"/>
  <c r="F66" i="39"/>
  <c r="F50" i="39"/>
  <c r="F111" i="39"/>
  <c r="F63" i="39"/>
  <c r="F51" i="39"/>
  <c r="F102" i="39"/>
  <c r="F98" i="39"/>
  <c r="F117" i="39"/>
  <c r="F99" i="39"/>
  <c r="F38" i="39"/>
  <c r="F45" i="39"/>
  <c r="F81" i="39"/>
  <c r="F77" i="39"/>
  <c r="F39" i="39"/>
  <c r="J155" i="34"/>
  <c r="J151" i="34"/>
  <c r="J143" i="34"/>
  <c r="J135" i="34"/>
  <c r="J131" i="34"/>
  <c r="J125" i="34"/>
  <c r="J119" i="34"/>
  <c r="J160" i="34"/>
  <c r="J150" i="34"/>
  <c r="J146" i="34"/>
  <c r="J142" i="34"/>
  <c r="J138" i="34"/>
  <c r="J156" i="34"/>
  <c r="J144" i="34"/>
  <c r="J136" i="34"/>
  <c r="J132" i="34"/>
  <c r="J126" i="34"/>
  <c r="J157" i="34"/>
  <c r="J149" i="34"/>
  <c r="J147" i="34"/>
  <c r="J140" i="34"/>
  <c r="J121" i="34"/>
  <c r="J101" i="34"/>
  <c r="J97" i="34"/>
  <c r="H86" i="34"/>
  <c r="J77" i="34"/>
  <c r="J69" i="34"/>
  <c r="J61" i="34"/>
  <c r="J154" i="34"/>
  <c r="J145" i="34"/>
  <c r="J141" i="34"/>
  <c r="J139" i="34"/>
  <c r="J129" i="34"/>
  <c r="J108" i="34"/>
  <c r="J100" i="34"/>
  <c r="J96" i="34"/>
  <c r="J88" i="34"/>
  <c r="J84" i="34"/>
  <c r="J76" i="34"/>
  <c r="J68" i="34"/>
  <c r="J60" i="34"/>
  <c r="J153" i="34"/>
  <c r="J137" i="34"/>
  <c r="J128" i="34"/>
  <c r="J120" i="34"/>
  <c r="J118" i="34"/>
  <c r="J113" i="34"/>
  <c r="J112" i="34"/>
  <c r="J105" i="34"/>
  <c r="J99" i="34"/>
  <c r="J95" i="34"/>
  <c r="J89" i="34"/>
  <c r="J83" i="34"/>
  <c r="J75" i="34"/>
  <c r="J67" i="34"/>
  <c r="J59" i="34"/>
  <c r="J169" i="34"/>
  <c r="J152" i="34"/>
  <c r="J134" i="34"/>
  <c r="J133" i="34"/>
  <c r="J111" i="34"/>
  <c r="J94" i="34"/>
  <c r="J82" i="34"/>
  <c r="J74" i="34"/>
  <c r="J66" i="34"/>
  <c r="J127" i="34"/>
  <c r="J117" i="34"/>
  <c r="J110" i="34"/>
  <c r="J107" i="34"/>
  <c r="J93" i="34"/>
  <c r="J81" i="34"/>
  <c r="J73" i="34"/>
  <c r="J65" i="34"/>
  <c r="J124" i="34"/>
  <c r="J116" i="34"/>
  <c r="J104" i="34"/>
  <c r="J98" i="34"/>
  <c r="J92" i="34"/>
  <c r="J80" i="34"/>
  <c r="J72" i="34"/>
  <c r="J64" i="34"/>
  <c r="J58" i="34"/>
  <c r="J165" i="34"/>
  <c r="J158" i="34"/>
  <c r="J123" i="34"/>
  <c r="J109" i="34"/>
  <c r="J103" i="34"/>
  <c r="J91" i="34"/>
  <c r="J79" i="34"/>
  <c r="J71" i="34"/>
  <c r="J63" i="34"/>
  <c r="J164" i="34"/>
  <c r="J163" i="34"/>
  <c r="J161" i="34"/>
  <c r="J159" i="34"/>
  <c r="J148" i="34"/>
  <c r="J130" i="34"/>
  <c r="J122" i="34"/>
  <c r="J115" i="34"/>
  <c r="J114" i="34"/>
  <c r="J106" i="34"/>
  <c r="J102" i="34"/>
  <c r="J90" i="34"/>
  <c r="J86" i="34"/>
  <c r="J78" i="34"/>
  <c r="J70" i="34"/>
  <c r="J62" i="34"/>
  <c r="X18" i="33"/>
  <c r="P27" i="33"/>
  <c r="T36" i="50"/>
  <c r="Z36" i="50" s="1"/>
  <c r="Z31" i="50"/>
  <c r="P111" i="36"/>
  <c r="X24" i="36"/>
  <c r="H27" i="37"/>
  <c r="L27" i="37" s="1"/>
  <c r="N18" i="37"/>
  <c r="J24" i="36"/>
  <c r="L12" i="51"/>
  <c r="H27" i="26"/>
  <c r="N18" i="26"/>
  <c r="T36" i="32"/>
  <c r="Z36" i="32" s="1"/>
  <c r="Z31" i="32"/>
  <c r="T27" i="24"/>
  <c r="Z18" i="24"/>
  <c r="L216" i="15"/>
  <c r="N216" i="15" s="1"/>
  <c r="J113" i="25"/>
  <c r="J101" i="25"/>
  <c r="J97" i="25"/>
  <c r="J91" i="25"/>
  <c r="J85" i="25"/>
  <c r="J79" i="25"/>
  <c r="J73" i="25"/>
  <c r="J69" i="25"/>
  <c r="H58" i="25"/>
  <c r="J49" i="25"/>
  <c r="J41" i="25"/>
  <c r="J104" i="25"/>
  <c r="J100" i="25"/>
  <c r="J96" i="25"/>
  <c r="J72" i="25"/>
  <c r="J68" i="25"/>
  <c r="J60" i="25"/>
  <c r="J56" i="25"/>
  <c r="J48" i="25"/>
  <c r="J40" i="25"/>
  <c r="J111" i="25"/>
  <c r="J107" i="25"/>
  <c r="J103" i="25"/>
  <c r="J93" i="25"/>
  <c r="J87" i="25"/>
  <c r="J81" i="25"/>
  <c r="J67" i="25"/>
  <c r="J61" i="25"/>
  <c r="J55" i="25"/>
  <c r="J47" i="25"/>
  <c r="J114" i="25"/>
  <c r="J106" i="25"/>
  <c r="J90" i="25"/>
  <c r="J84" i="25"/>
  <c r="J78" i="25"/>
  <c r="J66" i="25"/>
  <c r="J54" i="25"/>
  <c r="J46" i="25"/>
  <c r="J109" i="25"/>
  <c r="J99" i="25"/>
  <c r="J95" i="25"/>
  <c r="J89" i="25"/>
  <c r="J77" i="25"/>
  <c r="J71" i="25"/>
  <c r="J65" i="25"/>
  <c r="J53" i="25"/>
  <c r="J45" i="25"/>
  <c r="J39" i="25"/>
  <c r="J118" i="25"/>
  <c r="J112" i="25"/>
  <c r="J102" i="25"/>
  <c r="J92" i="25"/>
  <c r="J86" i="25"/>
  <c r="J80" i="25"/>
  <c r="J76" i="25"/>
  <c r="J64" i="25"/>
  <c r="J52" i="25"/>
  <c r="J44" i="25"/>
  <c r="J105" i="25"/>
  <c r="J83" i="25"/>
  <c r="J75" i="25"/>
  <c r="J63" i="25"/>
  <c r="J51" i="25"/>
  <c r="J43" i="25"/>
  <c r="J88" i="25"/>
  <c r="J82" i="25"/>
  <c r="J74" i="25"/>
  <c r="J42" i="25"/>
  <c r="J94" i="25"/>
  <c r="J62" i="25"/>
  <c r="J58" i="25"/>
  <c r="J70" i="25"/>
  <c r="J50" i="25"/>
  <c r="J108" i="25"/>
  <c r="J98" i="25"/>
  <c r="P164" i="28"/>
  <c r="R84" i="28"/>
  <c r="N226" i="12"/>
  <c r="L18" i="11"/>
  <c r="D27" i="11"/>
  <c r="N27" i="14"/>
  <c r="H31" i="14"/>
  <c r="Z27" i="10"/>
  <c r="T31" i="10"/>
  <c r="P22" i="6"/>
  <c r="X16" i="6"/>
  <c r="L18" i="33"/>
  <c r="H27" i="11"/>
  <c r="N18" i="11"/>
  <c r="T31" i="6"/>
  <c r="Z26" i="6"/>
  <c r="H32" i="88"/>
  <c r="N16" i="88"/>
  <c r="X16" i="82"/>
  <c r="P33" i="82"/>
  <c r="T34" i="78"/>
  <c r="F77" i="70"/>
  <c r="F71" i="70"/>
  <c r="F73" i="70"/>
  <c r="F70" i="70"/>
  <c r="F69" i="70"/>
  <c r="F74" i="70"/>
  <c r="F66" i="70"/>
  <c r="F76" i="70"/>
  <c r="F65" i="70"/>
  <c r="F62" i="70"/>
  <c r="F58" i="70"/>
  <c r="F38" i="70"/>
  <c r="F33" i="70"/>
  <c r="F32" i="70"/>
  <c r="F61" i="70"/>
  <c r="F52" i="70"/>
  <c r="F49" i="70"/>
  <c r="F37" i="70"/>
  <c r="F81" i="70"/>
  <c r="F64" i="70"/>
  <c r="F60" i="70"/>
  <c r="F36" i="70"/>
  <c r="F27" i="70"/>
  <c r="F54" i="70"/>
  <c r="F51" i="70"/>
  <c r="F46" i="70"/>
  <c r="F42" i="70"/>
  <c r="F35" i="70"/>
  <c r="F67" i="70"/>
  <c r="F53" i="70"/>
  <c r="F48" i="70"/>
  <c r="F45" i="70"/>
  <c r="F41" i="70"/>
  <c r="F30" i="70"/>
  <c r="F68" i="70"/>
  <c r="F63" i="70"/>
  <c r="F59" i="70"/>
  <c r="F56" i="70"/>
  <c r="F44" i="70"/>
  <c r="F40" i="70"/>
  <c r="D30" i="70"/>
  <c r="F28" i="70"/>
  <c r="F34" i="70"/>
  <c r="L12" i="70"/>
  <c r="F57" i="70"/>
  <c r="F43" i="70"/>
  <c r="F72" i="70"/>
  <c r="F50" i="70"/>
  <c r="F55" i="70"/>
  <c r="F39" i="70"/>
  <c r="F47" i="70"/>
  <c r="L18" i="44"/>
  <c r="D27" i="44"/>
  <c r="X61" i="97"/>
  <c r="T85" i="94"/>
  <c r="R30" i="84"/>
  <c r="R27" i="84"/>
  <c r="R22" i="84"/>
  <c r="R20" i="84"/>
  <c r="P18" i="84"/>
  <c r="R39" i="84"/>
  <c r="R33" i="84"/>
  <c r="R44" i="84"/>
  <c r="R37" i="84"/>
  <c r="R32" i="84"/>
  <c r="R29" i="84"/>
  <c r="R24" i="84"/>
  <c r="R21" i="84"/>
  <c r="R16" i="84"/>
  <c r="R28" i="84"/>
  <c r="R25" i="84"/>
  <c r="R15" i="84"/>
  <c r="R26" i="84"/>
  <c r="R18" i="84"/>
  <c r="R35" i="84"/>
  <c r="R23" i="84"/>
  <c r="X12" i="84"/>
  <c r="Z12" i="84" s="1"/>
  <c r="R41" i="84"/>
  <c r="R31" i="84"/>
  <c r="N17" i="86"/>
  <c r="H68" i="86"/>
  <c r="R29" i="87"/>
  <c r="R23" i="87"/>
  <c r="R32" i="87"/>
  <c r="P17" i="87"/>
  <c r="R25" i="87"/>
  <c r="R27" i="87"/>
  <c r="X12" i="87"/>
  <c r="Z12" i="87" s="1"/>
  <c r="R17" i="87"/>
  <c r="R15" i="87"/>
  <c r="R20" i="87"/>
  <c r="R21" i="87"/>
  <c r="R19" i="87"/>
  <c r="T33" i="82"/>
  <c r="Z16" i="82"/>
  <c r="F76" i="79"/>
  <c r="F68" i="79"/>
  <c r="F60" i="79"/>
  <c r="F56" i="79"/>
  <c r="F81" i="79"/>
  <c r="F75" i="79"/>
  <c r="F72" i="79"/>
  <c r="F53" i="79"/>
  <c r="F48" i="79"/>
  <c r="F45" i="79"/>
  <c r="F32" i="79"/>
  <c r="F25" i="79"/>
  <c r="F16" i="79"/>
  <c r="F44" i="79"/>
  <c r="F39" i="79"/>
  <c r="F36" i="79"/>
  <c r="F24" i="79"/>
  <c r="L12" i="79"/>
  <c r="F85" i="79"/>
  <c r="F74" i="79"/>
  <c r="F71" i="79"/>
  <c r="F67" i="79"/>
  <c r="F62" i="79"/>
  <c r="F59" i="79"/>
  <c r="F50" i="79"/>
  <c r="F47" i="79"/>
  <c r="F35" i="79"/>
  <c r="F31" i="79"/>
  <c r="F73" i="79"/>
  <c r="F70" i="79"/>
  <c r="F66" i="79"/>
  <c r="F58" i="79"/>
  <c r="F55" i="79"/>
  <c r="F41" i="79"/>
  <c r="F38" i="79"/>
  <c r="F34" i="79"/>
  <c r="F30" i="79"/>
  <c r="D20" i="79"/>
  <c r="F18" i="79"/>
  <c r="F78" i="79"/>
  <c r="F54" i="79"/>
  <c r="F51" i="79"/>
  <c r="F46" i="79"/>
  <c r="F27" i="79"/>
  <c r="F23" i="79"/>
  <c r="F77" i="79"/>
  <c r="F37" i="79"/>
  <c r="F40" i="79"/>
  <c r="F26" i="79"/>
  <c r="F22" i="79"/>
  <c r="F49" i="79"/>
  <c r="F17" i="79"/>
  <c r="F69" i="79"/>
  <c r="F65" i="79"/>
  <c r="F64" i="79"/>
  <c r="F63" i="79"/>
  <c r="F61" i="79"/>
  <c r="F28" i="79"/>
  <c r="F57" i="79"/>
  <c r="F33" i="79"/>
  <c r="F29" i="79"/>
  <c r="F42" i="79"/>
  <c r="F80" i="79"/>
  <c r="F43" i="79"/>
  <c r="F52" i="79"/>
  <c r="D37" i="84"/>
  <c r="P72" i="86"/>
  <c r="X44" i="74"/>
  <c r="Z44" i="74" s="1"/>
  <c r="P48" i="74"/>
  <c r="V57" i="67"/>
  <c r="V52" i="67"/>
  <c r="V50" i="67"/>
  <c r="V46" i="67"/>
  <c r="V38" i="67"/>
  <c r="V26" i="67"/>
  <c r="T21" i="67"/>
  <c r="V45" i="67"/>
  <c r="V37" i="67"/>
  <c r="V25" i="67"/>
  <c r="V40" i="67"/>
  <c r="V32" i="67"/>
  <c r="V24" i="67"/>
  <c r="Z12" i="67"/>
  <c r="V39" i="67"/>
  <c r="V31" i="67"/>
  <c r="V19" i="67"/>
  <c r="V54" i="67"/>
  <c r="V48" i="67"/>
  <c r="V42" i="67"/>
  <c r="V34" i="67"/>
  <c r="V30" i="67"/>
  <c r="V18" i="67"/>
  <c r="V44" i="67"/>
  <c r="V36" i="67"/>
  <c r="V28" i="67"/>
  <c r="V43" i="67"/>
  <c r="V35" i="67"/>
  <c r="V27" i="67"/>
  <c r="V23" i="67"/>
  <c r="V21" i="67"/>
  <c r="V41" i="67"/>
  <c r="V29" i="67"/>
  <c r="V33" i="67"/>
  <c r="L91" i="71"/>
  <c r="N91" i="71" s="1"/>
  <c r="J42" i="67"/>
  <c r="J34" i="67"/>
  <c r="J30" i="67"/>
  <c r="J24" i="67"/>
  <c r="J39" i="67"/>
  <c r="J29" i="67"/>
  <c r="J54" i="67"/>
  <c r="J48" i="67"/>
  <c r="J44" i="67"/>
  <c r="J36" i="67"/>
  <c r="J28" i="67"/>
  <c r="J18" i="67"/>
  <c r="J41" i="67"/>
  <c r="J33" i="67"/>
  <c r="J27" i="67"/>
  <c r="J52" i="67"/>
  <c r="J46" i="67"/>
  <c r="J38" i="67"/>
  <c r="J26" i="67"/>
  <c r="J57" i="67"/>
  <c r="J50" i="67"/>
  <c r="J40" i="67"/>
  <c r="J32" i="67"/>
  <c r="H21" i="67"/>
  <c r="N12" i="67"/>
  <c r="J45" i="67"/>
  <c r="J37" i="67"/>
  <c r="J31" i="67"/>
  <c r="J23" i="67"/>
  <c r="J19" i="67"/>
  <c r="J43" i="67"/>
  <c r="J25" i="67"/>
  <c r="J35" i="67"/>
  <c r="J21" i="67"/>
  <c r="R118" i="66"/>
  <c r="R107" i="66"/>
  <c r="R103" i="66"/>
  <c r="R87" i="66"/>
  <c r="R84" i="66"/>
  <c r="R67" i="66"/>
  <c r="R55" i="66"/>
  <c r="R47" i="66"/>
  <c r="R106" i="66"/>
  <c r="R99" i="66"/>
  <c r="R95" i="66"/>
  <c r="R90" i="66"/>
  <c r="R78" i="66"/>
  <c r="R71" i="66"/>
  <c r="R66" i="66"/>
  <c r="R54" i="66"/>
  <c r="R46" i="66"/>
  <c r="R39" i="66"/>
  <c r="R112" i="66"/>
  <c r="R109" i="66"/>
  <c r="R102" i="66"/>
  <c r="R89" i="66"/>
  <c r="R86" i="66"/>
  <c r="R77" i="66"/>
  <c r="R65" i="66"/>
  <c r="R53" i="66"/>
  <c r="R45" i="66"/>
  <c r="R114" i="66"/>
  <c r="R105" i="66"/>
  <c r="R92" i="66"/>
  <c r="R80" i="66"/>
  <c r="R76" i="66"/>
  <c r="R64" i="66"/>
  <c r="R52" i="66"/>
  <c r="R44" i="66"/>
  <c r="X12" i="66"/>
  <c r="Z12" i="66" s="1"/>
  <c r="R108" i="66"/>
  <c r="R88" i="66"/>
  <c r="R83" i="66"/>
  <c r="R75" i="66"/>
  <c r="R63" i="66"/>
  <c r="R51" i="66"/>
  <c r="R43" i="66"/>
  <c r="R101" i="66"/>
  <c r="R97" i="66"/>
  <c r="R85" i="66"/>
  <c r="R73" i="66"/>
  <c r="R69" i="66"/>
  <c r="R49" i="66"/>
  <c r="R41" i="66"/>
  <c r="R111" i="66"/>
  <c r="R104" i="66"/>
  <c r="R100" i="66"/>
  <c r="R96" i="66"/>
  <c r="R93" i="66"/>
  <c r="R81" i="66"/>
  <c r="R72" i="66"/>
  <c r="R68" i="66"/>
  <c r="R61" i="66"/>
  <c r="R56" i="66"/>
  <c r="R48" i="66"/>
  <c r="R40" i="66"/>
  <c r="R82" i="66"/>
  <c r="R113" i="66"/>
  <c r="R98" i="66"/>
  <c r="R62" i="66"/>
  <c r="R79" i="66"/>
  <c r="R74" i="66"/>
  <c r="R50" i="66"/>
  <c r="P58" i="66"/>
  <c r="R94" i="66"/>
  <c r="R91" i="66"/>
  <c r="R70" i="66"/>
  <c r="R60" i="66"/>
  <c r="R42" i="66"/>
  <c r="T116" i="66"/>
  <c r="F112" i="66"/>
  <c r="F102" i="66"/>
  <c r="F86" i="66"/>
  <c r="F83" i="66"/>
  <c r="F75" i="66"/>
  <c r="F63" i="66"/>
  <c r="F51" i="66"/>
  <c r="F43" i="66"/>
  <c r="F118" i="66"/>
  <c r="F105" i="66"/>
  <c r="F98" i="66"/>
  <c r="F94" i="66"/>
  <c r="F82" i="66"/>
  <c r="F74" i="66"/>
  <c r="F70" i="66"/>
  <c r="F62" i="66"/>
  <c r="F50" i="66"/>
  <c r="F42" i="66"/>
  <c r="F108" i="66"/>
  <c r="F101" i="66"/>
  <c r="F97" i="66"/>
  <c r="F88" i="66"/>
  <c r="F85" i="66"/>
  <c r="F73" i="66"/>
  <c r="F69" i="66"/>
  <c r="F58" i="66"/>
  <c r="F49" i="66"/>
  <c r="F41" i="66"/>
  <c r="F113" i="66"/>
  <c r="F104" i="66"/>
  <c r="F100" i="66"/>
  <c r="F96" i="66"/>
  <c r="F91" i="66"/>
  <c r="F79" i="66"/>
  <c r="F72" i="66"/>
  <c r="F68" i="66"/>
  <c r="D58" i="66"/>
  <c r="F56" i="66"/>
  <c r="F48" i="66"/>
  <c r="F40" i="66"/>
  <c r="F107" i="66"/>
  <c r="F103" i="66"/>
  <c r="F87" i="66"/>
  <c r="F67" i="66"/>
  <c r="F55" i="66"/>
  <c r="F47" i="66"/>
  <c r="F109" i="66"/>
  <c r="F89" i="66"/>
  <c r="F84" i="66"/>
  <c r="F77" i="66"/>
  <c r="F65" i="66"/>
  <c r="F53" i="66"/>
  <c r="F45" i="66"/>
  <c r="F114" i="66"/>
  <c r="F99" i="66"/>
  <c r="F95" i="66"/>
  <c r="F92" i="66"/>
  <c r="F80" i="66"/>
  <c r="F76" i="66"/>
  <c r="F71" i="66"/>
  <c r="F64" i="66"/>
  <c r="F52" i="66"/>
  <c r="F44" i="66"/>
  <c r="F39" i="66"/>
  <c r="L12" i="66"/>
  <c r="F93" i="66"/>
  <c r="F90" i="66"/>
  <c r="F106" i="66"/>
  <c r="F81" i="66"/>
  <c r="F78" i="66"/>
  <c r="F66" i="66"/>
  <c r="F61" i="66"/>
  <c r="F60" i="66"/>
  <c r="F54" i="66"/>
  <c r="F111" i="66"/>
  <c r="F46" i="66"/>
  <c r="P56" i="59"/>
  <c r="X16" i="59"/>
  <c r="Z16" i="59"/>
  <c r="T56" i="59"/>
  <c r="D70" i="56"/>
  <c r="P61" i="57"/>
  <c r="X16" i="57"/>
  <c r="D31" i="52"/>
  <c r="X18" i="43"/>
  <c r="P27" i="43"/>
  <c r="H27" i="50"/>
  <c r="N18" i="50"/>
  <c r="P27" i="49"/>
  <c r="X18" i="49"/>
  <c r="X18" i="40"/>
  <c r="P27" i="40"/>
  <c r="T27" i="35"/>
  <c r="Z18" i="35"/>
  <c r="T27" i="44"/>
  <c r="Z18" i="44"/>
  <c r="H27" i="40"/>
  <c r="N18" i="40"/>
  <c r="P27" i="35"/>
  <c r="X18" i="35"/>
  <c r="D27" i="38"/>
  <c r="L18" i="38"/>
  <c r="D31" i="37"/>
  <c r="D27" i="32"/>
  <c r="L18" i="32"/>
  <c r="L18" i="40"/>
  <c r="P167" i="34"/>
  <c r="T82" i="31"/>
  <c r="V32" i="31"/>
  <c r="L18" i="24"/>
  <c r="D27" i="24"/>
  <c r="D31" i="30"/>
  <c r="V109" i="25"/>
  <c r="V105" i="25"/>
  <c r="V89" i="25"/>
  <c r="V77" i="25"/>
  <c r="V65" i="25"/>
  <c r="V53" i="25"/>
  <c r="V45" i="25"/>
  <c r="V118" i="25"/>
  <c r="V108" i="25"/>
  <c r="V92" i="25"/>
  <c r="V88" i="25"/>
  <c r="V80" i="25"/>
  <c r="V76" i="25"/>
  <c r="V64" i="25"/>
  <c r="V60" i="25"/>
  <c r="V58" i="25"/>
  <c r="V52" i="25"/>
  <c r="V44" i="25"/>
  <c r="V113" i="25"/>
  <c r="V91" i="25"/>
  <c r="V83" i="25"/>
  <c r="V79" i="25"/>
  <c r="V75" i="25"/>
  <c r="V63" i="25"/>
  <c r="T58" i="25"/>
  <c r="V51" i="25"/>
  <c r="V43" i="25"/>
  <c r="V98" i="25"/>
  <c r="V94" i="25"/>
  <c r="V82" i="25"/>
  <c r="V74" i="25"/>
  <c r="V70" i="25"/>
  <c r="V62" i="25"/>
  <c r="V50" i="25"/>
  <c r="V42" i="25"/>
  <c r="V111" i="25"/>
  <c r="V101" i="25"/>
  <c r="V97" i="25"/>
  <c r="V93" i="25"/>
  <c r="V85" i="25"/>
  <c r="V81" i="25"/>
  <c r="V73" i="25"/>
  <c r="V69" i="25"/>
  <c r="V61" i="25"/>
  <c r="V49" i="25"/>
  <c r="V41" i="25"/>
  <c r="V114" i="25"/>
  <c r="V104" i="25"/>
  <c r="V100" i="25"/>
  <c r="V96" i="25"/>
  <c r="V84" i="25"/>
  <c r="V72" i="25"/>
  <c r="V68" i="25"/>
  <c r="V56" i="25"/>
  <c r="V48" i="25"/>
  <c r="V40" i="25"/>
  <c r="V107" i="25"/>
  <c r="V103" i="25"/>
  <c r="V99" i="25"/>
  <c r="V95" i="25"/>
  <c r="V87" i="25"/>
  <c r="V71" i="25"/>
  <c r="V67" i="25"/>
  <c r="V55" i="25"/>
  <c r="V47" i="25"/>
  <c r="V39" i="25"/>
  <c r="V106" i="25"/>
  <c r="V54" i="25"/>
  <c r="V86" i="25"/>
  <c r="V112" i="25"/>
  <c r="V102" i="25"/>
  <c r="V78" i="25"/>
  <c r="V66" i="25"/>
  <c r="V46" i="25"/>
  <c r="V90" i="25"/>
  <c r="X18" i="16"/>
  <c r="P27" i="16"/>
  <c r="T27" i="26"/>
  <c r="X27" i="26" s="1"/>
  <c r="Z18" i="26"/>
  <c r="Z238" i="18"/>
  <c r="Z18" i="16"/>
  <c r="T27" i="16"/>
  <c r="H97" i="9"/>
  <c r="L226" i="12"/>
  <c r="T36" i="5"/>
  <c r="Z36" i="5" s="1"/>
  <c r="Z31" i="5"/>
  <c r="N27" i="4"/>
  <c r="H31" i="4"/>
  <c r="H264" i="3"/>
  <c r="H68" i="97"/>
  <c r="P26" i="93"/>
  <c r="X16" i="93"/>
  <c r="L18" i="90"/>
  <c r="D47" i="90"/>
  <c r="H52" i="91"/>
  <c r="L48" i="91"/>
  <c r="N48" i="91" s="1"/>
  <c r="J31" i="84"/>
  <c r="J23" i="84"/>
  <c r="J15" i="84"/>
  <c r="J28" i="84"/>
  <c r="J41" i="84"/>
  <c r="J35" i="84"/>
  <c r="J25" i="84"/>
  <c r="J32" i="84"/>
  <c r="J24" i="84"/>
  <c r="J20" i="84"/>
  <c r="J16" i="84"/>
  <c r="J22" i="84"/>
  <c r="J21" i="84"/>
  <c r="N12" i="84"/>
  <c r="J39" i="84"/>
  <c r="J30" i="84"/>
  <c r="J29" i="84"/>
  <c r="J27" i="84"/>
  <c r="H18" i="84"/>
  <c r="J33" i="84"/>
  <c r="J44" i="84"/>
  <c r="J37" i="84"/>
  <c r="J26" i="84"/>
  <c r="J18" i="84"/>
  <c r="V72" i="92"/>
  <c r="V52" i="92"/>
  <c r="V44" i="92"/>
  <c r="V28" i="92"/>
  <c r="V74" i="92"/>
  <c r="V70" i="92"/>
  <c r="V54" i="92"/>
  <c r="V46" i="92"/>
  <c r="V38" i="92"/>
  <c r="V26" i="92"/>
  <c r="T21" i="92"/>
  <c r="V69" i="92"/>
  <c r="V57" i="92"/>
  <c r="V49" i="92"/>
  <c r="V41" i="92"/>
  <c r="V37" i="92"/>
  <c r="V33" i="92"/>
  <c r="V25" i="92"/>
  <c r="V66" i="92"/>
  <c r="V62" i="92"/>
  <c r="V58" i="92"/>
  <c r="V50" i="92"/>
  <c r="V42" i="92"/>
  <c r="V34" i="92"/>
  <c r="V30" i="92"/>
  <c r="V18" i="92"/>
  <c r="V71" i="92"/>
  <c r="V40" i="92"/>
  <c r="V77" i="92"/>
  <c r="V73" i="92"/>
  <c r="V67" i="92"/>
  <c r="V64" i="92"/>
  <c r="V56" i="92"/>
  <c r="V51" i="92"/>
  <c r="V29" i="92"/>
  <c r="V19" i="92"/>
  <c r="V68" i="92"/>
  <c r="V53" i="92"/>
  <c r="V39" i="92"/>
  <c r="V35" i="92"/>
  <c r="V75" i="92"/>
  <c r="V61" i="92"/>
  <c r="V55" i="92"/>
  <c r="V21" i="92"/>
  <c r="V81" i="92"/>
  <c r="V60" i="92"/>
  <c r="V27" i="92"/>
  <c r="V24" i="92"/>
  <c r="V36" i="92"/>
  <c r="V48" i="92"/>
  <c r="V47" i="92"/>
  <c r="V23" i="92"/>
  <c r="V59" i="92"/>
  <c r="V43" i="92"/>
  <c r="V65" i="92"/>
  <c r="V45" i="92"/>
  <c r="V31" i="92"/>
  <c r="V63" i="92"/>
  <c r="V32" i="92"/>
  <c r="V17" i="92"/>
  <c r="L12" i="84"/>
  <c r="F96" i="77"/>
  <c r="F65" i="77"/>
  <c r="F60" i="77"/>
  <c r="F53" i="77"/>
  <c r="F41" i="77"/>
  <c r="F103" i="77"/>
  <c r="F100" i="77"/>
  <c r="F92" i="77"/>
  <c r="F88" i="77"/>
  <c r="F84" i="77"/>
  <c r="F79" i="77"/>
  <c r="F76" i="77"/>
  <c r="F71" i="77"/>
  <c r="F68" i="77"/>
  <c r="F64" i="77"/>
  <c r="F52" i="77"/>
  <c r="F40" i="77"/>
  <c r="F99" i="77"/>
  <c r="F95" i="77"/>
  <c r="F91" i="77"/>
  <c r="F87" i="77"/>
  <c r="F63" i="77"/>
  <c r="F59" i="77"/>
  <c r="F39" i="77"/>
  <c r="F105" i="77"/>
  <c r="F102" i="77"/>
  <c r="F98" i="77"/>
  <c r="F94" i="77"/>
  <c r="F90" i="77"/>
  <c r="F86" i="77"/>
  <c r="F81" i="77"/>
  <c r="F78" i="77"/>
  <c r="F73" i="77"/>
  <c r="F70" i="77"/>
  <c r="F62" i="77"/>
  <c r="F58" i="77"/>
  <c r="D48" i="77"/>
  <c r="F48" i="77" s="1"/>
  <c r="F46" i="77"/>
  <c r="F108" i="77"/>
  <c r="F55" i="77"/>
  <c r="F43" i="77"/>
  <c r="F38" i="77"/>
  <c r="F112" i="77"/>
  <c r="F93" i="77"/>
  <c r="F101" i="77"/>
  <c r="F80" i="77"/>
  <c r="F69" i="77"/>
  <c r="F67" i="77"/>
  <c r="F104" i="77"/>
  <c r="F97" i="77"/>
  <c r="F89" i="77"/>
  <c r="F72" i="77"/>
  <c r="F106" i="77"/>
  <c r="F85" i="77"/>
  <c r="F74" i="77"/>
  <c r="F61" i="77"/>
  <c r="F50" i="77"/>
  <c r="F42" i="77"/>
  <c r="F75" i="77"/>
  <c r="F45" i="77"/>
  <c r="F77" i="77"/>
  <c r="F56" i="77"/>
  <c r="F82" i="77"/>
  <c r="F54" i="77"/>
  <c r="F51" i="77"/>
  <c r="F83" i="77"/>
  <c r="F57" i="77"/>
  <c r="F44" i="77"/>
  <c r="L12" i="77"/>
  <c r="N12" i="77" s="1"/>
  <c r="F66" i="77"/>
  <c r="L20" i="76"/>
  <c r="D76" i="76"/>
  <c r="F20" i="76"/>
  <c r="L12" i="73"/>
  <c r="H69" i="58"/>
  <c r="N16" i="58"/>
  <c r="D84" i="64"/>
  <c r="L39" i="64"/>
  <c r="L18" i="47"/>
  <c r="D27" i="47"/>
  <c r="X18" i="24"/>
  <c r="P27" i="24"/>
  <c r="H27" i="30"/>
  <c r="N18" i="30"/>
  <c r="V157" i="28"/>
  <c r="V149" i="28"/>
  <c r="V133" i="28"/>
  <c r="V129" i="28"/>
  <c r="V117" i="28"/>
  <c r="V105" i="28"/>
  <c r="V153" i="28"/>
  <c r="V145" i="28"/>
  <c r="V141" i="28"/>
  <c r="V137" i="28"/>
  <c r="V125" i="28"/>
  <c r="V121" i="28"/>
  <c r="V113" i="28"/>
  <c r="V109" i="28"/>
  <c r="V166" i="28"/>
  <c r="V162" i="28"/>
  <c r="V158" i="28"/>
  <c r="V150" i="28"/>
  <c r="V143" i="28"/>
  <c r="V106" i="28"/>
  <c r="V96" i="28"/>
  <c r="V92" i="28"/>
  <c r="V80" i="28"/>
  <c r="V72" i="28"/>
  <c r="V64" i="28"/>
  <c r="V56" i="28"/>
  <c r="V156" i="28"/>
  <c r="V155" i="28"/>
  <c r="V142" i="28"/>
  <c r="V128" i="28"/>
  <c r="V118" i="28"/>
  <c r="V104" i="28"/>
  <c r="V103" i="28"/>
  <c r="V91" i="28"/>
  <c r="V79" i="28"/>
  <c r="V71" i="28"/>
  <c r="V63" i="28"/>
  <c r="V140" i="28"/>
  <c r="V139" i="28"/>
  <c r="V138" i="28"/>
  <c r="V124" i="28"/>
  <c r="V123" i="28"/>
  <c r="V90" i="28"/>
  <c r="V86" i="28"/>
  <c r="V84" i="28"/>
  <c r="V78" i="28"/>
  <c r="V70" i="28"/>
  <c r="V62" i="28"/>
  <c r="V136" i="28"/>
  <c r="V135" i="28"/>
  <c r="V115" i="28"/>
  <c r="V111" i="28"/>
  <c r="V101" i="28"/>
  <c r="V89" i="28"/>
  <c r="T84" i="28"/>
  <c r="X84" i="28" s="1"/>
  <c r="V77" i="28"/>
  <c r="V69" i="28"/>
  <c r="V61" i="28"/>
  <c r="V161" i="28"/>
  <c r="V154" i="28"/>
  <c r="V144" i="28"/>
  <c r="V134" i="28"/>
  <c r="V114" i="28"/>
  <c r="V110" i="28"/>
  <c r="V102" i="28"/>
  <c r="V100" i="28"/>
  <c r="V88" i="28"/>
  <c r="V76" i="28"/>
  <c r="V68" i="28"/>
  <c r="V60" i="28"/>
  <c r="V152" i="28"/>
  <c r="V151" i="28"/>
  <c r="V122" i="28"/>
  <c r="V108" i="28"/>
  <c r="V107" i="28"/>
  <c r="V99" i="28"/>
  <c r="V95" i="28"/>
  <c r="V87" i="28"/>
  <c r="V75" i="28"/>
  <c r="V67" i="28"/>
  <c r="V59" i="28"/>
  <c r="V148" i="28"/>
  <c r="V147" i="28"/>
  <c r="V127" i="28"/>
  <c r="V120" i="28"/>
  <c r="V119" i="28"/>
  <c r="V116" i="28"/>
  <c r="V112" i="28"/>
  <c r="V98" i="28"/>
  <c r="V94" i="28"/>
  <c r="V82" i="28"/>
  <c r="V74" i="28"/>
  <c r="V66" i="28"/>
  <c r="V58" i="28"/>
  <c r="V97" i="28"/>
  <c r="V160" i="28"/>
  <c r="V131" i="28"/>
  <c r="V57" i="28"/>
  <c r="V65" i="28"/>
  <c r="V146" i="28"/>
  <c r="V73" i="28"/>
  <c r="V132" i="28"/>
  <c r="V130" i="28"/>
  <c r="V93" i="28"/>
  <c r="V81" i="28"/>
  <c r="V126" i="28"/>
  <c r="H27" i="16"/>
  <c r="N18" i="16"/>
  <c r="H27" i="24"/>
  <c r="N18" i="24"/>
  <c r="L18" i="29"/>
  <c r="L27" i="17"/>
  <c r="D31" i="17"/>
  <c r="R213" i="15"/>
  <c r="R209" i="15"/>
  <c r="R193" i="15"/>
  <c r="R180" i="15"/>
  <c r="R177" i="15"/>
  <c r="R165" i="15"/>
  <c r="R160" i="15"/>
  <c r="R153" i="15"/>
  <c r="R144" i="15"/>
  <c r="R132" i="15"/>
  <c r="R120" i="15"/>
  <c r="R218" i="15"/>
  <c r="R203" i="15"/>
  <c r="R196" i="15"/>
  <c r="R188" i="15"/>
  <c r="R184" i="15"/>
  <c r="R171" i="15"/>
  <c r="R168" i="15"/>
  <c r="R224" i="15"/>
  <c r="R206" i="15"/>
  <c r="R202" i="15"/>
  <c r="R179" i="15"/>
  <c r="R174" i="15"/>
  <c r="R162" i="15"/>
  <c r="R159" i="15"/>
  <c r="R216" i="15"/>
  <c r="R205" i="15"/>
  <c r="R201" i="15"/>
  <c r="R173" i="15"/>
  <c r="R170" i="15"/>
  <c r="R149" i="15"/>
  <c r="R146" i="15"/>
  <c r="R141" i="15"/>
  <c r="R137" i="15"/>
  <c r="R129" i="15"/>
  <c r="R117" i="15"/>
  <c r="R219" i="15"/>
  <c r="R212" i="15"/>
  <c r="R208" i="15"/>
  <c r="R200" i="15"/>
  <c r="R192" i="15"/>
  <c r="R176" i="15"/>
  <c r="R164" i="15"/>
  <c r="R161" i="15"/>
  <c r="R152" i="15"/>
  <c r="R140" i="15"/>
  <c r="R136" i="15"/>
  <c r="R211" i="15"/>
  <c r="R204" i="15"/>
  <c r="R199" i="15"/>
  <c r="R195" i="15"/>
  <c r="R217" i="15"/>
  <c r="R214" i="15"/>
  <c r="R210" i="15"/>
  <c r="R207" i="15"/>
  <c r="R198" i="15"/>
  <c r="R194" i="15"/>
  <c r="R190" i="15"/>
  <c r="R186" i="15"/>
  <c r="R182" i="15"/>
  <c r="R178" i="15"/>
  <c r="R175" i="15"/>
  <c r="R166" i="15"/>
  <c r="R163" i="15"/>
  <c r="R158" i="15"/>
  <c r="R154" i="15"/>
  <c r="R151" i="15"/>
  <c r="R134" i="15"/>
  <c r="R127" i="15"/>
  <c r="R122" i="15"/>
  <c r="R220" i="15"/>
  <c r="R187" i="15"/>
  <c r="R155" i="15"/>
  <c r="R148" i="15"/>
  <c r="R147" i="15"/>
  <c r="R145" i="15"/>
  <c r="R126" i="15"/>
  <c r="R113" i="15"/>
  <c r="R105" i="15"/>
  <c r="R97" i="15"/>
  <c r="R89" i="15"/>
  <c r="R189" i="15"/>
  <c r="R183" i="15"/>
  <c r="R169" i="15"/>
  <c r="R131" i="15"/>
  <c r="R121" i="15"/>
  <c r="R112" i="15"/>
  <c r="R104" i="15"/>
  <c r="R96" i="15"/>
  <c r="R88" i="15"/>
  <c r="R81" i="15"/>
  <c r="R185" i="15"/>
  <c r="R181" i="15"/>
  <c r="R138" i="15"/>
  <c r="R130" i="15"/>
  <c r="P124" i="15"/>
  <c r="R124" i="15" s="1"/>
  <c r="R111" i="15"/>
  <c r="R103" i="15"/>
  <c r="R95" i="15"/>
  <c r="R87" i="15"/>
  <c r="R150" i="15"/>
  <c r="R143" i="15"/>
  <c r="R142" i="15"/>
  <c r="R110" i="15"/>
  <c r="R102" i="15"/>
  <c r="R94" i="15"/>
  <c r="R86" i="15"/>
  <c r="R139" i="15"/>
  <c r="R133" i="15"/>
  <c r="R109" i="15"/>
  <c r="R101" i="15"/>
  <c r="R93" i="15"/>
  <c r="R85" i="15"/>
  <c r="R197" i="15"/>
  <c r="R172" i="15"/>
  <c r="R119" i="15"/>
  <c r="R116" i="15"/>
  <c r="R108" i="15"/>
  <c r="R100" i="15"/>
  <c r="R92" i="15"/>
  <c r="R84" i="15"/>
  <c r="X12" i="15"/>
  <c r="R156" i="15"/>
  <c r="R128" i="15"/>
  <c r="R118" i="15"/>
  <c r="R115" i="15"/>
  <c r="R107" i="15"/>
  <c r="R99" i="15"/>
  <c r="R91" i="15"/>
  <c r="R83" i="15"/>
  <c r="R114" i="15"/>
  <c r="R90" i="15"/>
  <c r="R82" i="15"/>
  <c r="R106" i="15"/>
  <c r="R98" i="15"/>
  <c r="R191" i="15"/>
  <c r="R135" i="15"/>
  <c r="R157" i="15"/>
  <c r="R167" i="15"/>
  <c r="H26" i="6"/>
  <c r="N22" i="6"/>
  <c r="L18" i="98"/>
  <c r="D27" i="98"/>
  <c r="P64" i="97"/>
  <c r="X17" i="97"/>
  <c r="Z17" i="97" s="1"/>
  <c r="L18" i="100"/>
  <c r="D27" i="100"/>
  <c r="Z61" i="97"/>
  <c r="Z20" i="96"/>
  <c r="F80" i="94"/>
  <c r="F77" i="94"/>
  <c r="F79" i="94"/>
  <c r="F75" i="94"/>
  <c r="F78" i="94"/>
  <c r="F71" i="94"/>
  <c r="F64" i="94"/>
  <c r="F60" i="94"/>
  <c r="F55" i="94"/>
  <c r="F52" i="94"/>
  <c r="F47" i="94"/>
  <c r="F44" i="94"/>
  <c r="F36" i="94"/>
  <c r="F32" i="94"/>
  <c r="F21" i="94"/>
  <c r="L12" i="94"/>
  <c r="F72" i="94"/>
  <c r="F69" i="94"/>
  <c r="F68" i="94"/>
  <c r="F63" i="94"/>
  <c r="F35" i="94"/>
  <c r="F57" i="94"/>
  <c r="F54" i="94"/>
  <c r="F49" i="94"/>
  <c r="F46" i="94"/>
  <c r="F41" i="94"/>
  <c r="F30" i="94"/>
  <c r="F18" i="94"/>
  <c r="F74" i="94"/>
  <c r="F73" i="94"/>
  <c r="F29" i="94"/>
  <c r="F24" i="94"/>
  <c r="F23" i="94"/>
  <c r="F62" i="94"/>
  <c r="F87" i="94"/>
  <c r="F81" i="94"/>
  <c r="F59" i="94"/>
  <c r="F39" i="94"/>
  <c r="F33" i="94"/>
  <c r="F26" i="94"/>
  <c r="F83" i="94"/>
  <c r="F34" i="94"/>
  <c r="F27" i="94"/>
  <c r="F70" i="94"/>
  <c r="F65" i="94"/>
  <c r="F40" i="94"/>
  <c r="F28" i="94"/>
  <c r="D21" i="94"/>
  <c r="F61" i="94"/>
  <c r="F48" i="94"/>
  <c r="F43" i="94"/>
  <c r="F42" i="94"/>
  <c r="F53" i="94"/>
  <c r="F51" i="94"/>
  <c r="F45" i="94"/>
  <c r="F31" i="94"/>
  <c r="F25" i="94"/>
  <c r="F58" i="94"/>
  <c r="F37" i="94"/>
  <c r="F17" i="94"/>
  <c r="F56" i="94"/>
  <c r="F50" i="94"/>
  <c r="F19" i="94"/>
  <c r="F38" i="94"/>
  <c r="F76" i="94"/>
  <c r="F67" i="94"/>
  <c r="F66" i="94"/>
  <c r="H30" i="89"/>
  <c r="N16" i="89"/>
  <c r="F18" i="90"/>
  <c r="T32" i="88"/>
  <c r="Z16" i="88"/>
  <c r="T27" i="99"/>
  <c r="X27" i="99" s="1"/>
  <c r="Z18" i="99"/>
  <c r="H27" i="100"/>
  <c r="N18" i="100"/>
  <c r="R61" i="97"/>
  <c r="R75" i="95"/>
  <c r="R71" i="95"/>
  <c r="R59" i="95"/>
  <c r="R56" i="95"/>
  <c r="R51" i="95"/>
  <c r="R48" i="95"/>
  <c r="R43" i="95"/>
  <c r="R70" i="95"/>
  <c r="R66" i="95"/>
  <c r="R62" i="95"/>
  <c r="R30" i="95"/>
  <c r="R69" i="95"/>
  <c r="R47" i="95"/>
  <c r="R38" i="95"/>
  <c r="R37" i="95"/>
  <c r="R36" i="95"/>
  <c r="R28" i="95"/>
  <c r="R17" i="95"/>
  <c r="R83" i="95"/>
  <c r="R73" i="95"/>
  <c r="R72" i="95"/>
  <c r="R68" i="95"/>
  <c r="R46" i="95"/>
  <c r="R35" i="95"/>
  <c r="R27" i="95"/>
  <c r="R79" i="95"/>
  <c r="R67" i="95"/>
  <c r="R65" i="95"/>
  <c r="R57" i="95"/>
  <c r="R50" i="95"/>
  <c r="R45" i="95"/>
  <c r="R44" i="95"/>
  <c r="R41" i="95"/>
  <c r="R34" i="95"/>
  <c r="R26" i="95"/>
  <c r="R21" i="95"/>
  <c r="R77" i="95"/>
  <c r="R76" i="95"/>
  <c r="R64" i="95"/>
  <c r="R74" i="95"/>
  <c r="R54" i="95"/>
  <c r="R42" i="95"/>
  <c r="R33" i="95"/>
  <c r="R32" i="95"/>
  <c r="R18" i="95"/>
  <c r="R60" i="95"/>
  <c r="R49" i="95"/>
  <c r="R53" i="95"/>
  <c r="R61" i="95"/>
  <c r="R31" i="95"/>
  <c r="X12" i="95"/>
  <c r="R63" i="95"/>
  <c r="R55" i="95"/>
  <c r="R39" i="95"/>
  <c r="R29" i="95"/>
  <c r="R25" i="95"/>
  <c r="R23" i="95"/>
  <c r="P21" i="95"/>
  <c r="R52" i="95"/>
  <c r="R24" i="95"/>
  <c r="R19" i="95"/>
  <c r="R40" i="95"/>
  <c r="R58" i="95"/>
  <c r="V17" i="97"/>
  <c r="J76" i="94"/>
  <c r="J74" i="94"/>
  <c r="J80" i="94"/>
  <c r="J70" i="94"/>
  <c r="J72" i="94"/>
  <c r="J71" i="94"/>
  <c r="J68" i="94"/>
  <c r="J63" i="94"/>
  <c r="J57" i="94"/>
  <c r="J49" i="94"/>
  <c r="J41" i="94"/>
  <c r="J35" i="94"/>
  <c r="J31" i="94"/>
  <c r="J23" i="94"/>
  <c r="J19" i="94"/>
  <c r="J54" i="94"/>
  <c r="J46" i="94"/>
  <c r="J73" i="94"/>
  <c r="J67" i="94"/>
  <c r="J59" i="94"/>
  <c r="J51" i="94"/>
  <c r="J43" i="94"/>
  <c r="J29" i="94"/>
  <c r="J62" i="94"/>
  <c r="J56" i="94"/>
  <c r="J48" i="94"/>
  <c r="J40" i="94"/>
  <c r="J34" i="94"/>
  <c r="J28" i="94"/>
  <c r="J87" i="94"/>
  <c r="J81" i="94"/>
  <c r="J79" i="94"/>
  <c r="J75" i="94"/>
  <c r="J66" i="94"/>
  <c r="J58" i="94"/>
  <c r="J83" i="94"/>
  <c r="J39" i="94"/>
  <c r="J33" i="94"/>
  <c r="J32" i="94"/>
  <c r="J26" i="94"/>
  <c r="J18" i="94"/>
  <c r="J69" i="94"/>
  <c r="J27" i="94"/>
  <c r="J65" i="94"/>
  <c r="J64" i="94"/>
  <c r="J60" i="94"/>
  <c r="H21" i="94"/>
  <c r="J61" i="94"/>
  <c r="J45" i="94"/>
  <c r="J42" i="94"/>
  <c r="J53" i="94"/>
  <c r="J50" i="94"/>
  <c r="J47" i="94"/>
  <c r="J37" i="94"/>
  <c r="J36" i="94"/>
  <c r="J52" i="94"/>
  <c r="J38" i="94"/>
  <c r="J30" i="94"/>
  <c r="J25" i="94"/>
  <c r="J24" i="94"/>
  <c r="J17" i="94"/>
  <c r="N12" i="94"/>
  <c r="J21" i="94"/>
  <c r="J78" i="94"/>
  <c r="J77" i="94"/>
  <c r="J55" i="94"/>
  <c r="J44" i="94"/>
  <c r="J74" i="92"/>
  <c r="J68" i="92"/>
  <c r="J64" i="92"/>
  <c r="J60" i="92"/>
  <c r="J54" i="92"/>
  <c r="J46" i="92"/>
  <c r="J36" i="92"/>
  <c r="J32" i="92"/>
  <c r="H21" i="92"/>
  <c r="L21" i="92" s="1"/>
  <c r="N12" i="92"/>
  <c r="J66" i="92"/>
  <c r="J62" i="92"/>
  <c r="J56" i="92"/>
  <c r="J48" i="92"/>
  <c r="J40" i="92"/>
  <c r="J30" i="92"/>
  <c r="J24" i="92"/>
  <c r="J18" i="92"/>
  <c r="J83" i="92"/>
  <c r="J77" i="92"/>
  <c r="J73" i="92"/>
  <c r="J53" i="92"/>
  <c r="J45" i="92"/>
  <c r="J29" i="92"/>
  <c r="J70" i="92"/>
  <c r="J52" i="92"/>
  <c r="J44" i="92"/>
  <c r="J38" i="92"/>
  <c r="J26" i="92"/>
  <c r="J81" i="92"/>
  <c r="J61" i="92"/>
  <c r="J59" i="92"/>
  <c r="J31" i="92"/>
  <c r="J27" i="92"/>
  <c r="J47" i="92"/>
  <c r="J37" i="92"/>
  <c r="J28" i="92"/>
  <c r="J63" i="92"/>
  <c r="J50" i="92"/>
  <c r="J72" i="92"/>
  <c r="J71" i="92"/>
  <c r="J65" i="92"/>
  <c r="J49" i="92"/>
  <c r="J34" i="92"/>
  <c r="J17" i="92"/>
  <c r="J86" i="92"/>
  <c r="J58" i="92"/>
  <c r="J55" i="92"/>
  <c r="J41" i="92"/>
  <c r="J21" i="92"/>
  <c r="J57" i="92"/>
  <c r="J35" i="92"/>
  <c r="J19" i="92"/>
  <c r="J42" i="92"/>
  <c r="J75" i="92"/>
  <c r="J25" i="92"/>
  <c r="J67" i="92"/>
  <c r="J43" i="92"/>
  <c r="J39" i="92"/>
  <c r="J79" i="92"/>
  <c r="J23" i="92"/>
  <c r="J33" i="92"/>
  <c r="J51" i="92"/>
  <c r="J69" i="92"/>
  <c r="R32" i="90"/>
  <c r="R29" i="90"/>
  <c r="R21" i="90"/>
  <c r="R16" i="90"/>
  <c r="R34" i="90"/>
  <c r="R31" i="90"/>
  <c r="R26" i="90"/>
  <c r="R15" i="90"/>
  <c r="R42" i="90"/>
  <c r="R37" i="90"/>
  <c r="R25" i="90"/>
  <c r="R45" i="90"/>
  <c r="R35" i="90"/>
  <c r="R30" i="90"/>
  <c r="R27" i="90"/>
  <c r="R22" i="90"/>
  <c r="R20" i="90"/>
  <c r="P18" i="90"/>
  <c r="R49" i="90"/>
  <c r="R39" i="90"/>
  <c r="R38" i="90"/>
  <c r="R43" i="90"/>
  <c r="R28" i="90"/>
  <c r="X12" i="90"/>
  <c r="R24" i="90"/>
  <c r="R41" i="90"/>
  <c r="R23" i="90"/>
  <c r="R18" i="90"/>
  <c r="R40" i="90"/>
  <c r="R36" i="90"/>
  <c r="R33" i="90"/>
  <c r="T68" i="86"/>
  <c r="X68" i="86" s="1"/>
  <c r="Z17" i="86"/>
  <c r="P48" i="91"/>
  <c r="X16" i="91"/>
  <c r="D68" i="86"/>
  <c r="L17" i="86"/>
  <c r="X16" i="83"/>
  <c r="P38" i="83"/>
  <c r="H30" i="78"/>
  <c r="H76" i="81"/>
  <c r="F19" i="75"/>
  <c r="F27" i="75"/>
  <c r="F23" i="75"/>
  <c r="L12" i="75"/>
  <c r="F20" i="75"/>
  <c r="F25" i="75"/>
  <c r="F31" i="75"/>
  <c r="F18" i="75"/>
  <c r="F21" i="75"/>
  <c r="D23" i="75"/>
  <c r="N20" i="76"/>
  <c r="H76" i="76"/>
  <c r="L17" i="74"/>
  <c r="D44" i="74"/>
  <c r="X17" i="86"/>
  <c r="V90" i="79"/>
  <c r="V85" i="79"/>
  <c r="V83" i="79"/>
  <c r="V71" i="79"/>
  <c r="V87" i="79"/>
  <c r="V81" i="79"/>
  <c r="V75" i="79"/>
  <c r="V67" i="79"/>
  <c r="V63" i="79"/>
  <c r="V59" i="79"/>
  <c r="V55" i="79"/>
  <c r="V72" i="79"/>
  <c r="V68" i="79"/>
  <c r="V64" i="79"/>
  <c r="V60" i="79"/>
  <c r="V48" i="79"/>
  <c r="V40" i="79"/>
  <c r="V32" i="79"/>
  <c r="V28" i="79"/>
  <c r="V16" i="79"/>
  <c r="V78" i="79"/>
  <c r="V77" i="79"/>
  <c r="V56" i="79"/>
  <c r="V51" i="79"/>
  <c r="V39" i="79"/>
  <c r="V27" i="79"/>
  <c r="V62" i="79"/>
  <c r="V50" i="79"/>
  <c r="V42" i="79"/>
  <c r="V26" i="79"/>
  <c r="V22" i="79"/>
  <c r="V20" i="79"/>
  <c r="V53" i="79"/>
  <c r="V45" i="79"/>
  <c r="V41" i="79"/>
  <c r="V25" i="79"/>
  <c r="T20" i="79"/>
  <c r="V70" i="79"/>
  <c r="V66" i="79"/>
  <c r="V58" i="79"/>
  <c r="V57" i="79"/>
  <c r="V54" i="79"/>
  <c r="V46" i="79"/>
  <c r="V38" i="79"/>
  <c r="V34" i="79"/>
  <c r="V30" i="79"/>
  <c r="V18" i="79"/>
  <c r="V52" i="79"/>
  <c r="V49" i="79"/>
  <c r="V43" i="79"/>
  <c r="V31" i="79"/>
  <c r="V17" i="79"/>
  <c r="V33" i="79"/>
  <c r="V80" i="79"/>
  <c r="V73" i="79"/>
  <c r="Z12" i="79"/>
  <c r="V69" i="79"/>
  <c r="V65" i="79"/>
  <c r="V61" i="79"/>
  <c r="V44" i="79"/>
  <c r="V37" i="79"/>
  <c r="V23" i="79"/>
  <c r="V76" i="79"/>
  <c r="V36" i="79"/>
  <c r="V47" i="79"/>
  <c r="V24" i="79"/>
  <c r="V35" i="79"/>
  <c r="V29" i="79"/>
  <c r="V74" i="79"/>
  <c r="V20" i="75"/>
  <c r="Z12" i="75"/>
  <c r="V27" i="75"/>
  <c r="V23" i="75"/>
  <c r="V19" i="75"/>
  <c r="T23" i="75"/>
  <c r="V21" i="75"/>
  <c r="V31" i="75"/>
  <c r="V25" i="75"/>
  <c r="V18" i="75"/>
  <c r="Z143" i="69"/>
  <c r="P50" i="67"/>
  <c r="X21" i="67"/>
  <c r="X12" i="69"/>
  <c r="Z12" i="69" s="1"/>
  <c r="V58" i="66"/>
  <c r="X16" i="63"/>
  <c r="P38" i="63"/>
  <c r="H99" i="62"/>
  <c r="N17" i="62"/>
  <c r="L12" i="65"/>
  <c r="N16" i="59"/>
  <c r="H56" i="59"/>
  <c r="F39" i="64"/>
  <c r="X18" i="52"/>
  <c r="P27" i="52"/>
  <c r="P66" i="56"/>
  <c r="X16" i="56"/>
  <c r="V77" i="64"/>
  <c r="V73" i="64"/>
  <c r="V61" i="64"/>
  <c r="V49" i="64"/>
  <c r="V45" i="64"/>
  <c r="V41" i="64"/>
  <c r="V86" i="64"/>
  <c r="V80" i="64"/>
  <c r="V72" i="64"/>
  <c r="V60" i="64"/>
  <c r="V52" i="64"/>
  <c r="V48" i="64"/>
  <c r="V44" i="64"/>
  <c r="V79" i="64"/>
  <c r="V63" i="64"/>
  <c r="V51" i="64"/>
  <c r="V47" i="64"/>
  <c r="V43" i="64"/>
  <c r="V66" i="64"/>
  <c r="V62" i="64"/>
  <c r="V54" i="64"/>
  <c r="V46" i="64"/>
  <c r="V42" i="64"/>
  <c r="V69" i="64"/>
  <c r="V65" i="64"/>
  <c r="V57" i="64"/>
  <c r="V53" i="64"/>
  <c r="V75" i="64"/>
  <c r="V71" i="64"/>
  <c r="V67" i="64"/>
  <c r="V59" i="64"/>
  <c r="V55" i="64"/>
  <c r="V78" i="64"/>
  <c r="V74" i="64"/>
  <c r="V70" i="64"/>
  <c r="V58" i="64"/>
  <c r="V50" i="64"/>
  <c r="V33" i="64"/>
  <c r="V68" i="64"/>
  <c r="V32" i="64"/>
  <c r="V31" i="64"/>
  <c r="V76" i="64"/>
  <c r="V30" i="64"/>
  <c r="V82" i="64"/>
  <c r="V56" i="64"/>
  <c r="V29" i="64"/>
  <c r="V64" i="64"/>
  <c r="T39" i="64"/>
  <c r="V39" i="64" s="1"/>
  <c r="V35" i="64"/>
  <c r="V27" i="64"/>
  <c r="V34" i="64"/>
  <c r="V36" i="64"/>
  <c r="V28" i="64"/>
  <c r="V37" i="64"/>
  <c r="Z12" i="64"/>
  <c r="T68" i="57"/>
  <c r="L18" i="52"/>
  <c r="H36" i="53"/>
  <c r="N36" i="53" s="1"/>
  <c r="N31" i="53"/>
  <c r="F61" i="48"/>
  <c r="L12" i="48"/>
  <c r="N12" i="48" s="1"/>
  <c r="R90" i="45"/>
  <c r="R83" i="45"/>
  <c r="R79" i="45"/>
  <c r="R59" i="45"/>
  <c r="R56" i="45"/>
  <c r="R51" i="45"/>
  <c r="R48" i="45"/>
  <c r="R43" i="45"/>
  <c r="R39" i="45"/>
  <c r="R27" i="45"/>
  <c r="R78" i="45"/>
  <c r="R70" i="45"/>
  <c r="R38" i="45"/>
  <c r="R26" i="45"/>
  <c r="R85" i="45"/>
  <c r="R82" i="45"/>
  <c r="R77" i="45"/>
  <c r="R69" i="45"/>
  <c r="R65" i="45"/>
  <c r="R61" i="45"/>
  <c r="R58" i="45"/>
  <c r="R53" i="45"/>
  <c r="R50" i="45"/>
  <c r="R45" i="45"/>
  <c r="R42" i="45"/>
  <c r="R37" i="45"/>
  <c r="R33" i="45"/>
  <c r="R25" i="45"/>
  <c r="R23" i="45"/>
  <c r="P21" i="45"/>
  <c r="R21" i="45" s="1"/>
  <c r="R94" i="45"/>
  <c r="R88" i="45"/>
  <c r="R76" i="45"/>
  <c r="R72" i="45"/>
  <c r="R68" i="45"/>
  <c r="R64" i="45"/>
  <c r="R36" i="45"/>
  <c r="R32" i="45"/>
  <c r="X12" i="45"/>
  <c r="Z12" i="45" s="1"/>
  <c r="R74" i="45"/>
  <c r="R71" i="45"/>
  <c r="R30" i="45"/>
  <c r="R18" i="45"/>
  <c r="R86" i="45"/>
  <c r="R81" i="45"/>
  <c r="R66" i="45"/>
  <c r="R62" i="45"/>
  <c r="R57" i="45"/>
  <c r="R54" i="45"/>
  <c r="R49" i="45"/>
  <c r="R46" i="45"/>
  <c r="R41" i="45"/>
  <c r="R34" i="45"/>
  <c r="R29" i="45"/>
  <c r="R80" i="45"/>
  <c r="R73" i="45"/>
  <c r="R40" i="45"/>
  <c r="R28" i="45"/>
  <c r="R17" i="45"/>
  <c r="R60" i="45"/>
  <c r="R55" i="45"/>
  <c r="R44" i="45"/>
  <c r="R63" i="45"/>
  <c r="R47" i="45"/>
  <c r="R52" i="45"/>
  <c r="R87" i="45"/>
  <c r="R31" i="45"/>
  <c r="R35" i="45"/>
  <c r="R84" i="45"/>
  <c r="R67" i="45"/>
  <c r="R19" i="45"/>
  <c r="R24" i="45"/>
  <c r="R75" i="45"/>
  <c r="Z27" i="49"/>
  <c r="T31" i="49"/>
  <c r="D103" i="42"/>
  <c r="L23" i="42"/>
  <c r="N23" i="42" s="1"/>
  <c r="L110" i="39"/>
  <c r="P31" i="37"/>
  <c r="X27" i="37"/>
  <c r="L18" i="41"/>
  <c r="D27" i="41"/>
  <c r="R61" i="48"/>
  <c r="T27" i="41"/>
  <c r="Z18" i="41"/>
  <c r="L18" i="37"/>
  <c r="X27" i="30"/>
  <c r="P31" i="30"/>
  <c r="J76" i="31"/>
  <c r="J68" i="31"/>
  <c r="J50" i="31"/>
  <c r="J36" i="31"/>
  <c r="J79" i="31"/>
  <c r="J73" i="31"/>
  <c r="J65" i="31"/>
  <c r="J61" i="31"/>
  <c r="J55" i="31"/>
  <c r="J47" i="31"/>
  <c r="J43" i="31"/>
  <c r="H32" i="31"/>
  <c r="J58" i="31"/>
  <c r="J52" i="31"/>
  <c r="J46" i="31"/>
  <c r="J42" i="31"/>
  <c r="J34" i="31"/>
  <c r="J30" i="31"/>
  <c r="J75" i="31"/>
  <c r="J67" i="31"/>
  <c r="J57" i="31"/>
  <c r="J49" i="31"/>
  <c r="J45" i="31"/>
  <c r="J41" i="31"/>
  <c r="J35" i="31"/>
  <c r="J29" i="31"/>
  <c r="J80" i="31"/>
  <c r="J72" i="31"/>
  <c r="J64" i="31"/>
  <c r="J60" i="31"/>
  <c r="J54" i="31"/>
  <c r="J40" i="31"/>
  <c r="J28" i="31"/>
  <c r="J71" i="31"/>
  <c r="J63" i="31"/>
  <c r="J51" i="31"/>
  <c r="J39" i="31"/>
  <c r="J84" i="31"/>
  <c r="J78" i="31"/>
  <c r="J74" i="31"/>
  <c r="J70" i="31"/>
  <c r="J66" i="31"/>
  <c r="J62" i="31"/>
  <c r="J56" i="31"/>
  <c r="J48" i="31"/>
  <c r="J44" i="31"/>
  <c r="J38" i="31"/>
  <c r="J69" i="31"/>
  <c r="J59" i="31"/>
  <c r="J53" i="31"/>
  <c r="J37" i="31"/>
  <c r="J27" i="31"/>
  <c r="V163" i="34"/>
  <c r="V169" i="34"/>
  <c r="V159" i="34"/>
  <c r="V147" i="34"/>
  <c r="V139" i="34"/>
  <c r="V127" i="34"/>
  <c r="V123" i="34"/>
  <c r="V115" i="34"/>
  <c r="V111" i="34"/>
  <c r="V164" i="34"/>
  <c r="V158" i="34"/>
  <c r="V154" i="34"/>
  <c r="V150" i="34"/>
  <c r="V146" i="34"/>
  <c r="V142" i="34"/>
  <c r="V138" i="34"/>
  <c r="V134" i="34"/>
  <c r="V130" i="34"/>
  <c r="V122" i="34"/>
  <c r="V118" i="34"/>
  <c r="V110" i="34"/>
  <c r="V143" i="34"/>
  <c r="V133" i="34"/>
  <c r="V126" i="34"/>
  <c r="V117" i="34"/>
  <c r="V93" i="34"/>
  <c r="V81" i="34"/>
  <c r="V73" i="34"/>
  <c r="V65" i="34"/>
  <c r="V135" i="34"/>
  <c r="V116" i="34"/>
  <c r="V109" i="34"/>
  <c r="V104" i="34"/>
  <c r="V92" i="34"/>
  <c r="V88" i="34"/>
  <c r="V80" i="34"/>
  <c r="V72" i="34"/>
  <c r="V64" i="34"/>
  <c r="V124" i="34"/>
  <c r="V114" i="34"/>
  <c r="V103" i="34"/>
  <c r="V91" i="34"/>
  <c r="T86" i="34"/>
  <c r="V79" i="34"/>
  <c r="V71" i="34"/>
  <c r="V63" i="34"/>
  <c r="V165" i="34"/>
  <c r="V161" i="34"/>
  <c r="V160" i="34"/>
  <c r="V131" i="34"/>
  <c r="V121" i="34"/>
  <c r="V106" i="34"/>
  <c r="V102" i="34"/>
  <c r="V90" i="34"/>
  <c r="V78" i="34"/>
  <c r="V70" i="34"/>
  <c r="V62" i="34"/>
  <c r="V157" i="34"/>
  <c r="V156" i="34"/>
  <c r="V149" i="34"/>
  <c r="V148" i="34"/>
  <c r="V105" i="34"/>
  <c r="V101" i="34"/>
  <c r="V97" i="34"/>
  <c r="V89" i="34"/>
  <c r="V77" i="34"/>
  <c r="V69" i="34"/>
  <c r="V61" i="34"/>
  <c r="V145" i="34"/>
  <c r="V144" i="34"/>
  <c r="V141" i="34"/>
  <c r="V140" i="34"/>
  <c r="V129" i="34"/>
  <c r="V108" i="34"/>
  <c r="V100" i="34"/>
  <c r="V96" i="34"/>
  <c r="V84" i="34"/>
  <c r="V76" i="34"/>
  <c r="V68" i="34"/>
  <c r="V60" i="34"/>
  <c r="Z12" i="34"/>
  <c r="V153" i="34"/>
  <c r="V137" i="34"/>
  <c r="V136" i="34"/>
  <c r="V128" i="34"/>
  <c r="V119" i="34"/>
  <c r="V113" i="34"/>
  <c r="V107" i="34"/>
  <c r="V99" i="34"/>
  <c r="V95" i="34"/>
  <c r="V83" i="34"/>
  <c r="V75" i="34"/>
  <c r="V67" i="34"/>
  <c r="V59" i="34"/>
  <c r="V155" i="34"/>
  <c r="V152" i="34"/>
  <c r="V151" i="34"/>
  <c r="V132" i="34"/>
  <c r="V125" i="34"/>
  <c r="V120" i="34"/>
  <c r="V112" i="34"/>
  <c r="V98" i="34"/>
  <c r="V94" i="34"/>
  <c r="V82" i="34"/>
  <c r="V74" i="34"/>
  <c r="V66" i="34"/>
  <c r="V58" i="34"/>
  <c r="L18" i="26"/>
  <c r="D27" i="26"/>
  <c r="T31" i="37"/>
  <c r="Z27" i="37"/>
  <c r="R163" i="34"/>
  <c r="Z111" i="25"/>
  <c r="P31" i="22"/>
  <c r="T27" i="22"/>
  <c r="X27" i="22" s="1"/>
  <c r="Z18" i="22"/>
  <c r="V90" i="21"/>
  <c r="V89" i="21"/>
  <c r="V81" i="21"/>
  <c r="V77" i="21"/>
  <c r="V73" i="21"/>
  <c r="V69" i="21"/>
  <c r="V61" i="21"/>
  <c r="V53" i="21"/>
  <c r="V45" i="21"/>
  <c r="V41" i="21"/>
  <c r="V33" i="21"/>
  <c r="V88" i="21"/>
  <c r="V80" i="21"/>
  <c r="V76" i="21"/>
  <c r="V72" i="21"/>
  <c r="V64" i="21"/>
  <c r="V52" i="21"/>
  <c r="V44" i="21"/>
  <c r="V40" i="21"/>
  <c r="V28" i="21"/>
  <c r="V97" i="21"/>
  <c r="V75" i="21"/>
  <c r="V74" i="21"/>
  <c r="V68" i="21"/>
  <c r="V67" i="21"/>
  <c r="V62" i="21"/>
  <c r="V55" i="21"/>
  <c r="V54" i="21"/>
  <c r="V48" i="21"/>
  <c r="V47" i="21"/>
  <c r="V36" i="21"/>
  <c r="V35" i="21"/>
  <c r="V84" i="21"/>
  <c r="V83" i="21"/>
  <c r="V82" i="21"/>
  <c r="V78" i="21"/>
  <c r="V49" i="21"/>
  <c r="V46" i="21"/>
  <c r="V39" i="21"/>
  <c r="V38" i="21"/>
  <c r="V37" i="21"/>
  <c r="V34" i="21"/>
  <c r="V85" i="21"/>
  <c r="V60" i="21"/>
  <c r="V59" i="21"/>
  <c r="V42" i="21"/>
  <c r="V66" i="21"/>
  <c r="V65" i="21"/>
  <c r="T30" i="21"/>
  <c r="V30" i="21" s="1"/>
  <c r="V27" i="21"/>
  <c r="V71" i="21"/>
  <c r="V63" i="21"/>
  <c r="V56" i="21"/>
  <c r="V51" i="21"/>
  <c r="V32" i="21"/>
  <c r="V26" i="21"/>
  <c r="V25" i="21"/>
  <c r="V93" i="21"/>
  <c r="V79" i="21"/>
  <c r="V70" i="21"/>
  <c r="V58" i="21"/>
  <c r="V57" i="21"/>
  <c r="V50" i="21"/>
  <c r="V43" i="21"/>
  <c r="V87" i="21"/>
  <c r="V91" i="21"/>
  <c r="V86" i="21"/>
  <c r="L18" i="30"/>
  <c r="N238" i="18"/>
  <c r="L18" i="22"/>
  <c r="D27" i="22"/>
  <c r="J146" i="18"/>
  <c r="L18" i="13"/>
  <c r="D27" i="13"/>
  <c r="P27" i="27"/>
  <c r="X18" i="27"/>
  <c r="V213" i="12"/>
  <c r="V197" i="12"/>
  <c r="V193" i="12"/>
  <c r="V189" i="12"/>
  <c r="V177" i="12"/>
  <c r="V169" i="12"/>
  <c r="V157" i="12"/>
  <c r="V153" i="12"/>
  <c r="V149" i="12"/>
  <c r="V137" i="12"/>
  <c r="V133" i="12"/>
  <c r="V131" i="12"/>
  <c r="V125" i="12"/>
  <c r="V117" i="12"/>
  <c r="V109" i="12"/>
  <c r="V101" i="12"/>
  <c r="V93" i="12"/>
  <c r="V234" i="12"/>
  <c r="V226" i="12"/>
  <c r="V216" i="12"/>
  <c r="V212" i="12"/>
  <c r="V188" i="12"/>
  <c r="V180" i="12"/>
  <c r="V168" i="12"/>
  <c r="V156" i="12"/>
  <c r="V148" i="12"/>
  <c r="V144" i="12"/>
  <c r="V136" i="12"/>
  <c r="T131" i="12"/>
  <c r="V124" i="12"/>
  <c r="V116" i="12"/>
  <c r="V108" i="12"/>
  <c r="V100" i="12"/>
  <c r="V92" i="12"/>
  <c r="V229" i="12"/>
  <c r="V215" i="12"/>
  <c r="V211" i="12"/>
  <c r="V183" i="12"/>
  <c r="V179" i="12"/>
  <c r="V171" i="12"/>
  <c r="V159" i="12"/>
  <c r="V155" i="12"/>
  <c r="V147" i="12"/>
  <c r="V143" i="12"/>
  <c r="V135" i="12"/>
  <c r="V123" i="12"/>
  <c r="V115" i="12"/>
  <c r="V107" i="12"/>
  <c r="V99" i="12"/>
  <c r="V91" i="12"/>
  <c r="V222" i="12"/>
  <c r="V218" i="12"/>
  <c r="V214" i="12"/>
  <c r="V210" i="12"/>
  <c r="V202" i="12"/>
  <c r="V182" i="12"/>
  <c r="V174" i="12"/>
  <c r="V170" i="12"/>
  <c r="V162" i="12"/>
  <c r="V158" i="12"/>
  <c r="V146" i="12"/>
  <c r="V142" i="12"/>
  <c r="V134" i="12"/>
  <c r="V122" i="12"/>
  <c r="V114" i="12"/>
  <c r="V106" i="12"/>
  <c r="V98" i="12"/>
  <c r="V90" i="12"/>
  <c r="V227" i="12"/>
  <c r="V221" i="12"/>
  <c r="V217" i="12"/>
  <c r="V209" i="12"/>
  <c r="V205" i="12"/>
  <c r="V201" i="12"/>
  <c r="V185" i="12"/>
  <c r="V181" i="12"/>
  <c r="V173" i="12"/>
  <c r="V165" i="12"/>
  <c r="V161" i="12"/>
  <c r="V145" i="12"/>
  <c r="V141" i="12"/>
  <c r="V129" i="12"/>
  <c r="V121" i="12"/>
  <c r="V113" i="12"/>
  <c r="V105" i="12"/>
  <c r="V97" i="12"/>
  <c r="V89" i="12"/>
  <c r="V230" i="12"/>
  <c r="V224" i="12"/>
  <c r="V220" i="12"/>
  <c r="V208" i="12"/>
  <c r="V204" i="12"/>
  <c r="V200" i="12"/>
  <c r="V196" i="12"/>
  <c r="V192" i="12"/>
  <c r="V184" i="12"/>
  <c r="V176" i="12"/>
  <c r="V172" i="12"/>
  <c r="V164" i="12"/>
  <c r="V160" i="12"/>
  <c r="V152" i="12"/>
  <c r="V140" i="12"/>
  <c r="V128" i="12"/>
  <c r="V120" i="12"/>
  <c r="V112" i="12"/>
  <c r="V104" i="12"/>
  <c r="V96" i="12"/>
  <c r="V88" i="12"/>
  <c r="V223" i="12"/>
  <c r="V219" i="12"/>
  <c r="V207" i="12"/>
  <c r="V203" i="12"/>
  <c r="V199" i="12"/>
  <c r="V195" i="12"/>
  <c r="V191" i="12"/>
  <c r="V187" i="12"/>
  <c r="V175" i="12"/>
  <c r="V167" i="12"/>
  <c r="V163" i="12"/>
  <c r="V151" i="12"/>
  <c r="V139" i="12"/>
  <c r="V127" i="12"/>
  <c r="V119" i="12"/>
  <c r="V111" i="12"/>
  <c r="V103" i="12"/>
  <c r="V95" i="12"/>
  <c r="V87" i="12"/>
  <c r="V190" i="12"/>
  <c r="V138" i="12"/>
  <c r="V228" i="12"/>
  <c r="V86" i="12"/>
  <c r="V186" i="12"/>
  <c r="V178" i="12"/>
  <c r="V154" i="12"/>
  <c r="V110" i="12"/>
  <c r="V206" i="12"/>
  <c r="V194" i="12"/>
  <c r="V126" i="12"/>
  <c r="V118" i="12"/>
  <c r="V198" i="12"/>
  <c r="V94" i="12"/>
  <c r="V166" i="12"/>
  <c r="V150" i="12"/>
  <c r="V102" i="12"/>
  <c r="T31" i="19"/>
  <c r="Z27" i="19"/>
  <c r="H27" i="10"/>
  <c r="L27" i="10" s="1"/>
  <c r="N18" i="10"/>
  <c r="T36" i="14"/>
  <c r="Z36" i="14" s="1"/>
  <c r="Z31" i="14"/>
  <c r="T27" i="4"/>
  <c r="Z18" i="4"/>
  <c r="J229" i="12"/>
  <c r="J221" i="12"/>
  <c r="J209" i="12"/>
  <c r="J205" i="12"/>
  <c r="J201" i="12"/>
  <c r="J185" i="12"/>
  <c r="J179" i="12"/>
  <c r="J173" i="12"/>
  <c r="J165" i="12"/>
  <c r="J161" i="12"/>
  <c r="J155" i="12"/>
  <c r="J141" i="12"/>
  <c r="J133" i="12"/>
  <c r="J129" i="12"/>
  <c r="J121" i="12"/>
  <c r="J113" i="12"/>
  <c r="J105" i="12"/>
  <c r="J97" i="12"/>
  <c r="J89" i="12"/>
  <c r="J224" i="12"/>
  <c r="J220" i="12"/>
  <c r="J214" i="12"/>
  <c r="J208" i="12"/>
  <c r="J204" i="12"/>
  <c r="J200" i="12"/>
  <c r="J196" i="12"/>
  <c r="J192" i="12"/>
  <c r="J176" i="12"/>
  <c r="J170" i="12"/>
  <c r="J164" i="12"/>
  <c r="J158" i="12"/>
  <c r="J152" i="12"/>
  <c r="J140" i="12"/>
  <c r="J134" i="12"/>
  <c r="J128" i="12"/>
  <c r="J120" i="12"/>
  <c r="J112" i="12"/>
  <c r="J104" i="12"/>
  <c r="J96" i="12"/>
  <c r="J88" i="12"/>
  <c r="J227" i="12"/>
  <c r="J217" i="12"/>
  <c r="J207" i="12"/>
  <c r="J199" i="12"/>
  <c r="J195" i="12"/>
  <c r="J191" i="12"/>
  <c r="J187" i="12"/>
  <c r="J181" i="12"/>
  <c r="J167" i="12"/>
  <c r="J151" i="12"/>
  <c r="J145" i="12"/>
  <c r="J139" i="12"/>
  <c r="J127" i="12"/>
  <c r="J119" i="12"/>
  <c r="J111" i="12"/>
  <c r="J103" i="12"/>
  <c r="J95" i="12"/>
  <c r="J87" i="12"/>
  <c r="J230" i="12"/>
  <c r="J198" i="12"/>
  <c r="J194" i="12"/>
  <c r="J190" i="12"/>
  <c r="J184" i="12"/>
  <c r="J178" i="12"/>
  <c r="J172" i="12"/>
  <c r="J160" i="12"/>
  <c r="J154" i="12"/>
  <c r="J150" i="12"/>
  <c r="J138" i="12"/>
  <c r="J126" i="12"/>
  <c r="J118" i="12"/>
  <c r="J110" i="12"/>
  <c r="J102" i="12"/>
  <c r="J94" i="12"/>
  <c r="J223" i="12"/>
  <c r="J219" i="12"/>
  <c r="J213" i="12"/>
  <c r="J203" i="12"/>
  <c r="J189" i="12"/>
  <c r="J175" i="12"/>
  <c r="J169" i="12"/>
  <c r="J163" i="12"/>
  <c r="J157" i="12"/>
  <c r="J149" i="12"/>
  <c r="J137" i="12"/>
  <c r="J125" i="12"/>
  <c r="J117" i="12"/>
  <c r="J109" i="12"/>
  <c r="J101" i="12"/>
  <c r="J93" i="12"/>
  <c r="J234" i="12"/>
  <c r="J228" i="12"/>
  <c r="J216" i="12"/>
  <c r="J212" i="12"/>
  <c r="J206" i="12"/>
  <c r="J186" i="12"/>
  <c r="J180" i="12"/>
  <c r="J166" i="12"/>
  <c r="J156" i="12"/>
  <c r="J148" i="12"/>
  <c r="J144" i="12"/>
  <c r="J136" i="12"/>
  <c r="J124" i="12"/>
  <c r="J116" i="12"/>
  <c r="J108" i="12"/>
  <c r="J100" i="12"/>
  <c r="J92" i="12"/>
  <c r="J86" i="12"/>
  <c r="J215" i="12"/>
  <c r="J211" i="12"/>
  <c r="J197" i="12"/>
  <c r="J193" i="12"/>
  <c r="J183" i="12"/>
  <c r="J177" i="12"/>
  <c r="J171" i="12"/>
  <c r="J159" i="12"/>
  <c r="J153" i="12"/>
  <c r="J147" i="12"/>
  <c r="J143" i="12"/>
  <c r="J135" i="12"/>
  <c r="J123" i="12"/>
  <c r="J115" i="12"/>
  <c r="J107" i="12"/>
  <c r="J99" i="12"/>
  <c r="J91" i="12"/>
  <c r="J162" i="12"/>
  <c r="J142" i="12"/>
  <c r="J122" i="12"/>
  <c r="J114" i="12"/>
  <c r="H131" i="12"/>
  <c r="J131" i="12" s="1"/>
  <c r="J218" i="12"/>
  <c r="J188" i="12"/>
  <c r="J174" i="12"/>
  <c r="J90" i="12"/>
  <c r="J210" i="12"/>
  <c r="J168" i="12"/>
  <c r="J146" i="12"/>
  <c r="J98" i="12"/>
  <c r="J202" i="12"/>
  <c r="J182" i="12"/>
  <c r="J222" i="12"/>
  <c r="J106" i="12"/>
  <c r="J226" i="12"/>
  <c r="X18" i="5"/>
  <c r="P27" i="5"/>
  <c r="Z16" i="9"/>
  <c r="T90" i="9"/>
  <c r="L27" i="5"/>
  <c r="D31" i="5"/>
  <c r="L22" i="6"/>
  <c r="H27" i="99"/>
  <c r="N18" i="99"/>
  <c r="T99" i="62"/>
  <c r="Z17" i="62"/>
  <c r="T46" i="61"/>
  <c r="Z16" i="61"/>
  <c r="P22" i="54"/>
  <c r="X16" i="54"/>
  <c r="T27" i="43"/>
  <c r="Z18" i="43"/>
  <c r="V93" i="51"/>
  <c r="V79" i="51"/>
  <c r="V75" i="51"/>
  <c r="V67" i="51"/>
  <c r="V55" i="51"/>
  <c r="V78" i="51"/>
  <c r="V91" i="51"/>
  <c r="V85" i="51"/>
  <c r="V81" i="51"/>
  <c r="V69" i="51"/>
  <c r="V65" i="51"/>
  <c r="V61" i="51"/>
  <c r="V53" i="51"/>
  <c r="V41" i="51"/>
  <c r="V94" i="51"/>
  <c r="V84" i="51"/>
  <c r="V80" i="51"/>
  <c r="V72" i="51"/>
  <c r="V64" i="51"/>
  <c r="V60" i="51"/>
  <c r="V87" i="51"/>
  <c r="V83" i="51"/>
  <c r="V92" i="51"/>
  <c r="V86" i="51"/>
  <c r="V82" i="51"/>
  <c r="V74" i="51"/>
  <c r="V89" i="51"/>
  <c r="V77" i="51"/>
  <c r="V73" i="51"/>
  <c r="V57" i="51"/>
  <c r="V45" i="51"/>
  <c r="V37" i="51"/>
  <c r="V98" i="51"/>
  <c r="V88" i="51"/>
  <c r="V76" i="51"/>
  <c r="V68" i="51"/>
  <c r="V56" i="51"/>
  <c r="V52" i="51"/>
  <c r="V44" i="51"/>
  <c r="V36" i="51"/>
  <c r="V58" i="51"/>
  <c r="Z12" i="51"/>
  <c r="V39" i="51"/>
  <c r="V38" i="51"/>
  <c r="V47" i="51"/>
  <c r="V40" i="51"/>
  <c r="V59" i="51"/>
  <c r="T50" i="51"/>
  <c r="V48" i="51"/>
  <c r="V46" i="51"/>
  <c r="V35" i="51"/>
  <c r="V71" i="51"/>
  <c r="V62" i="51"/>
  <c r="V54" i="51"/>
  <c r="V42" i="51"/>
  <c r="V70" i="51"/>
  <c r="V66" i="51"/>
  <c r="V43" i="51"/>
  <c r="V63" i="51"/>
  <c r="L18" i="99"/>
  <c r="D27" i="99"/>
  <c r="P31" i="99"/>
  <c r="F57" i="97"/>
  <c r="F49" i="97"/>
  <c r="F44" i="97"/>
  <c r="F33" i="97"/>
  <c r="F61" i="97"/>
  <c r="F40" i="97"/>
  <c r="F53" i="97"/>
  <c r="F42" i="97"/>
  <c r="F62" i="97"/>
  <c r="F56" i="97"/>
  <c r="F48" i="97"/>
  <c r="F45" i="97"/>
  <c r="F58" i="97"/>
  <c r="F55" i="97"/>
  <c r="F51" i="97"/>
  <c r="F47" i="97"/>
  <c r="F35" i="97"/>
  <c r="F46" i="97"/>
  <c r="F32" i="97"/>
  <c r="F27" i="97"/>
  <c r="F31" i="97"/>
  <c r="F26" i="97"/>
  <c r="F66" i="97"/>
  <c r="F54" i="97"/>
  <c r="F34" i="97"/>
  <c r="F25" i="97"/>
  <c r="F20" i="97"/>
  <c r="F19" i="97"/>
  <c r="F59" i="97"/>
  <c r="F39" i="97"/>
  <c r="F24" i="97"/>
  <c r="F15" i="97"/>
  <c r="L12" i="97"/>
  <c r="N12" i="97" s="1"/>
  <c r="F21" i="97"/>
  <c r="F52" i="97"/>
  <c r="F41" i="97"/>
  <c r="F36" i="97"/>
  <c r="F22" i="97"/>
  <c r="F28" i="97"/>
  <c r="F43" i="97"/>
  <c r="D17" i="97"/>
  <c r="F50" i="97"/>
  <c r="F37" i="97"/>
  <c r="F30" i="97"/>
  <c r="F29" i="97"/>
  <c r="F38" i="97"/>
  <c r="F23" i="97"/>
  <c r="F17" i="97"/>
  <c r="L21" i="95"/>
  <c r="D81" i="95"/>
  <c r="V61" i="97"/>
  <c r="D30" i="89"/>
  <c r="L16" i="89"/>
  <c r="T88" i="85"/>
  <c r="X16" i="81"/>
  <c r="P72" i="81"/>
  <c r="T47" i="90"/>
  <c r="Z18" i="90"/>
  <c r="Z68" i="81"/>
  <c r="X68" i="81"/>
  <c r="D33" i="82"/>
  <c r="L16" i="82"/>
  <c r="D38" i="83"/>
  <c r="L16" i="83"/>
  <c r="P30" i="78"/>
  <c r="X20" i="78"/>
  <c r="Z20" i="78" s="1"/>
  <c r="N17" i="74"/>
  <c r="H44" i="74"/>
  <c r="F57" i="67"/>
  <c r="F50" i="67"/>
  <c r="F31" i="67"/>
  <c r="D21" i="67"/>
  <c r="F19" i="67"/>
  <c r="F45" i="67"/>
  <c r="F42" i="67"/>
  <c r="F37" i="67"/>
  <c r="F34" i="67"/>
  <c r="F30" i="67"/>
  <c r="F29" i="67"/>
  <c r="F24" i="67"/>
  <c r="F23" i="67"/>
  <c r="F44" i="67"/>
  <c r="F39" i="67"/>
  <c r="F36" i="67"/>
  <c r="F28" i="67"/>
  <c r="F54" i="67"/>
  <c r="F48" i="67"/>
  <c r="F27" i="67"/>
  <c r="F18" i="67"/>
  <c r="F25" i="67"/>
  <c r="F43" i="67"/>
  <c r="F40" i="67"/>
  <c r="F35" i="67"/>
  <c r="F32" i="67"/>
  <c r="F21" i="67"/>
  <c r="L12" i="67"/>
  <c r="F46" i="67"/>
  <c r="F41" i="67"/>
  <c r="F33" i="67"/>
  <c r="F38" i="67"/>
  <c r="F26" i="67"/>
  <c r="F52" i="67"/>
  <c r="V45" i="65"/>
  <c r="V41" i="65"/>
  <c r="V33" i="65"/>
  <c r="V48" i="65"/>
  <c r="V44" i="65"/>
  <c r="V36" i="65"/>
  <c r="V24" i="65"/>
  <c r="V22" i="65"/>
  <c r="V63" i="65"/>
  <c r="V57" i="65"/>
  <c r="V51" i="65"/>
  <c r="V47" i="65"/>
  <c r="V43" i="65"/>
  <c r="V35" i="65"/>
  <c r="V27" i="65"/>
  <c r="T22" i="65"/>
  <c r="V50" i="65"/>
  <c r="V46" i="65"/>
  <c r="V38" i="65"/>
  <c r="V30" i="65"/>
  <c r="V26" i="65"/>
  <c r="V53" i="65"/>
  <c r="V49" i="65"/>
  <c r="V37" i="65"/>
  <c r="V29" i="65"/>
  <c r="V25" i="65"/>
  <c r="V66" i="65"/>
  <c r="V61" i="65"/>
  <c r="V59" i="65"/>
  <c r="V55" i="65"/>
  <c r="V39" i="65"/>
  <c r="V31" i="65"/>
  <c r="V19" i="65"/>
  <c r="V54" i="65"/>
  <c r="V42" i="65"/>
  <c r="V34" i="65"/>
  <c r="V18" i="65"/>
  <c r="V32" i="65"/>
  <c r="Z12" i="65"/>
  <c r="V52" i="65"/>
  <c r="V40" i="65"/>
  <c r="V28" i="65"/>
  <c r="V20" i="65"/>
  <c r="D45" i="63"/>
  <c r="L46" i="60"/>
  <c r="N46" i="60" s="1"/>
  <c r="D50" i="60"/>
  <c r="H66" i="56"/>
  <c r="N16" i="56"/>
  <c r="T27" i="53"/>
  <c r="X27" i="53" s="1"/>
  <c r="Z18" i="53"/>
  <c r="H26" i="54"/>
  <c r="L26" i="54" s="1"/>
  <c r="N22" i="54"/>
  <c r="P31" i="46"/>
  <c r="P34" i="55"/>
  <c r="D31" i="49"/>
  <c r="L27" i="49"/>
  <c r="Z61" i="48"/>
  <c r="P31" i="32"/>
  <c r="X27" i="32"/>
  <c r="D31" i="33"/>
  <c r="N78" i="31"/>
  <c r="T27" i="29"/>
  <c r="Z18" i="29"/>
  <c r="R106" i="25"/>
  <c r="R99" i="25"/>
  <c r="R95" i="25"/>
  <c r="R90" i="25"/>
  <c r="R78" i="25"/>
  <c r="R71" i="25"/>
  <c r="R66" i="25"/>
  <c r="R54" i="25"/>
  <c r="R46" i="25"/>
  <c r="R39" i="25"/>
  <c r="R112" i="25"/>
  <c r="R109" i="25"/>
  <c r="R102" i="25"/>
  <c r="R89" i="25"/>
  <c r="R86" i="25"/>
  <c r="R77" i="25"/>
  <c r="R65" i="25"/>
  <c r="R53" i="25"/>
  <c r="R45" i="25"/>
  <c r="R118" i="25"/>
  <c r="R105" i="25"/>
  <c r="R92" i="25"/>
  <c r="R80" i="25"/>
  <c r="R76" i="25"/>
  <c r="R64" i="25"/>
  <c r="R52" i="25"/>
  <c r="R44" i="25"/>
  <c r="X12" i="25"/>
  <c r="Z12" i="25" s="1"/>
  <c r="R108" i="25"/>
  <c r="R88" i="25"/>
  <c r="R83" i="25"/>
  <c r="R75" i="25"/>
  <c r="R63" i="25"/>
  <c r="R51" i="25"/>
  <c r="R43" i="25"/>
  <c r="R113" i="25"/>
  <c r="R98" i="25"/>
  <c r="R94" i="25"/>
  <c r="R91" i="25"/>
  <c r="R82" i="25"/>
  <c r="R79" i="25"/>
  <c r="R74" i="25"/>
  <c r="R70" i="25"/>
  <c r="R62" i="25"/>
  <c r="R60" i="25"/>
  <c r="P58" i="25"/>
  <c r="R50" i="25"/>
  <c r="R42" i="25"/>
  <c r="R101" i="25"/>
  <c r="R97" i="25"/>
  <c r="R85" i="25"/>
  <c r="R73" i="25"/>
  <c r="R69" i="25"/>
  <c r="R49" i="25"/>
  <c r="R41" i="25"/>
  <c r="R111" i="25"/>
  <c r="R104" i="25"/>
  <c r="R100" i="25"/>
  <c r="R96" i="25"/>
  <c r="R93" i="25"/>
  <c r="R81" i="25"/>
  <c r="R72" i="25"/>
  <c r="R68" i="25"/>
  <c r="R61" i="25"/>
  <c r="R56" i="25"/>
  <c r="R48" i="25"/>
  <c r="R40" i="25"/>
  <c r="R67" i="25"/>
  <c r="R47" i="25"/>
  <c r="R114" i="25"/>
  <c r="R103" i="25"/>
  <c r="R84" i="25"/>
  <c r="R55" i="25"/>
  <c r="R107" i="25"/>
  <c r="R87" i="25"/>
  <c r="H27" i="20"/>
  <c r="N18" i="20"/>
  <c r="F105" i="25"/>
  <c r="F98" i="25"/>
  <c r="F94" i="25"/>
  <c r="F82" i="25"/>
  <c r="F74" i="25"/>
  <c r="F70" i="25"/>
  <c r="F62" i="25"/>
  <c r="F50" i="25"/>
  <c r="F42" i="25"/>
  <c r="F108" i="25"/>
  <c r="F101" i="25"/>
  <c r="F97" i="25"/>
  <c r="F88" i="25"/>
  <c r="F85" i="25"/>
  <c r="F73" i="25"/>
  <c r="F69" i="25"/>
  <c r="F58" i="25"/>
  <c r="F49" i="25"/>
  <c r="F41" i="25"/>
  <c r="F113" i="25"/>
  <c r="F104" i="25"/>
  <c r="F100" i="25"/>
  <c r="F96" i="25"/>
  <c r="F91" i="25"/>
  <c r="F79" i="25"/>
  <c r="F72" i="25"/>
  <c r="F68" i="25"/>
  <c r="D58" i="25"/>
  <c r="F56" i="25"/>
  <c r="F48" i="25"/>
  <c r="F40" i="25"/>
  <c r="F107" i="25"/>
  <c r="F103" i="25"/>
  <c r="F87" i="25"/>
  <c r="F67" i="25"/>
  <c r="F55" i="25"/>
  <c r="F47" i="25"/>
  <c r="F111" i="25"/>
  <c r="F106" i="25"/>
  <c r="F93" i="25"/>
  <c r="F90" i="25"/>
  <c r="F81" i="25"/>
  <c r="F78" i="25"/>
  <c r="F66" i="25"/>
  <c r="F61" i="25"/>
  <c r="F60" i="25"/>
  <c r="F54" i="25"/>
  <c r="F46" i="25"/>
  <c r="F114" i="25"/>
  <c r="F109" i="25"/>
  <c r="F89" i="25"/>
  <c r="F84" i="25"/>
  <c r="F77" i="25"/>
  <c r="F65" i="25"/>
  <c r="F53" i="25"/>
  <c r="F45" i="25"/>
  <c r="F118" i="25"/>
  <c r="F99" i="25"/>
  <c r="F95" i="25"/>
  <c r="F92" i="25"/>
  <c r="F80" i="25"/>
  <c r="F76" i="25"/>
  <c r="F71" i="25"/>
  <c r="F64" i="25"/>
  <c r="F52" i="25"/>
  <c r="F44" i="25"/>
  <c r="F39" i="25"/>
  <c r="L12" i="25"/>
  <c r="N12" i="25" s="1"/>
  <c r="F112" i="25"/>
  <c r="F102" i="25"/>
  <c r="F83" i="25"/>
  <c r="F75" i="25"/>
  <c r="F63" i="25"/>
  <c r="F43" i="25"/>
  <c r="F86" i="25"/>
  <c r="F51" i="25"/>
  <c r="Z27" i="23"/>
  <c r="T31" i="23"/>
  <c r="F242" i="18"/>
  <c r="F225" i="18"/>
  <c r="F193" i="18"/>
  <c r="F169" i="18"/>
  <c r="F165" i="18"/>
  <c r="F160" i="18"/>
  <c r="F153" i="18"/>
  <c r="F141" i="18"/>
  <c r="F133" i="18"/>
  <c r="F125" i="18"/>
  <c r="F117" i="18"/>
  <c r="F109" i="18"/>
  <c r="F101" i="18"/>
  <c r="F235" i="18"/>
  <c r="F231" i="18"/>
  <c r="F228" i="18"/>
  <c r="F224" i="18"/>
  <c r="F215" i="18"/>
  <c r="F199" i="18"/>
  <c r="F196" i="18"/>
  <c r="F187" i="18"/>
  <c r="F184" i="18"/>
  <c r="F175" i="18"/>
  <c r="F172" i="18"/>
  <c r="F164" i="18"/>
  <c r="F152" i="18"/>
  <c r="F140" i="18"/>
  <c r="F132" i="18"/>
  <c r="F124" i="18"/>
  <c r="F116" i="18"/>
  <c r="F108" i="18"/>
  <c r="F100" i="18"/>
  <c r="F95" i="18"/>
  <c r="L12" i="18"/>
  <c r="N12" i="18" s="1"/>
  <c r="F240" i="18"/>
  <c r="F227" i="18"/>
  <c r="F223" i="18"/>
  <c r="F218" i="18"/>
  <c r="F210" i="18"/>
  <c r="F206" i="18"/>
  <c r="F195" i="18"/>
  <c r="F190" i="18"/>
  <c r="F178" i="18"/>
  <c r="F171" i="18"/>
  <c r="F163" i="18"/>
  <c r="F159" i="18"/>
  <c r="F151" i="18"/>
  <c r="F139" i="18"/>
  <c r="F131" i="18"/>
  <c r="F123" i="18"/>
  <c r="F115" i="18"/>
  <c r="F107" i="18"/>
  <c r="F99" i="18"/>
  <c r="F243" i="18"/>
  <c r="F234" i="18"/>
  <c r="F230" i="18"/>
  <c r="F222" i="18"/>
  <c r="F214" i="18"/>
  <c r="F201" i="18"/>
  <c r="F198" i="18"/>
  <c r="F186" i="18"/>
  <c r="F181" i="18"/>
  <c r="F174" i="18"/>
  <c r="F162" i="18"/>
  <c r="F158" i="18"/>
  <c r="F150" i="18"/>
  <c r="F138" i="18"/>
  <c r="F130" i="18"/>
  <c r="F122" i="18"/>
  <c r="F114" i="18"/>
  <c r="F106" i="18"/>
  <c r="F98" i="18"/>
  <c r="F238" i="18"/>
  <c r="F233" i="18"/>
  <c r="F221" i="18"/>
  <c r="F217" i="18"/>
  <c r="F213" i="18"/>
  <c r="F209" i="18"/>
  <c r="F205" i="18"/>
  <c r="F192" i="18"/>
  <c r="F189" i="18"/>
  <c r="F177" i="18"/>
  <c r="F168" i="18"/>
  <c r="F161" i="18"/>
  <c r="F157" i="18"/>
  <c r="F146" i="18"/>
  <c r="F137" i="18"/>
  <c r="F129" i="18"/>
  <c r="F121" i="18"/>
  <c r="F113" i="18"/>
  <c r="F105" i="18"/>
  <c r="F97" i="18"/>
  <c r="F241" i="18"/>
  <c r="F236" i="18"/>
  <c r="F232" i="18"/>
  <c r="F220" i="18"/>
  <c r="F216" i="18"/>
  <c r="F212" i="18"/>
  <c r="F208" i="18"/>
  <c r="F204" i="18"/>
  <c r="F200" i="18"/>
  <c r="F188" i="18"/>
  <c r="F183" i="18"/>
  <c r="F180" i="18"/>
  <c r="F176" i="18"/>
  <c r="F156" i="18"/>
  <c r="D146" i="18"/>
  <c r="F144" i="18"/>
  <c r="F136" i="18"/>
  <c r="F128" i="18"/>
  <c r="F120" i="18"/>
  <c r="F112" i="18"/>
  <c r="F104" i="18"/>
  <c r="F96" i="18"/>
  <c r="F244" i="18"/>
  <c r="F226" i="18"/>
  <c r="F219" i="18"/>
  <c r="F211" i="18"/>
  <c r="F207" i="18"/>
  <c r="F203" i="18"/>
  <c r="F194" i="18"/>
  <c r="F191" i="18"/>
  <c r="F179" i="18"/>
  <c r="F170" i="18"/>
  <c r="F167" i="18"/>
  <c r="F155" i="18"/>
  <c r="F143" i="18"/>
  <c r="F135" i="18"/>
  <c r="F127" i="18"/>
  <c r="F119" i="18"/>
  <c r="F111" i="18"/>
  <c r="F103" i="18"/>
  <c r="F229" i="18"/>
  <c r="F154" i="18"/>
  <c r="F102" i="18"/>
  <c r="F149" i="18"/>
  <c r="F148" i="18"/>
  <c r="F110" i="18"/>
  <c r="F239" i="18"/>
  <c r="F202" i="18"/>
  <c r="F197" i="18"/>
  <c r="F173" i="18"/>
  <c r="F142" i="18"/>
  <c r="F118" i="18"/>
  <c r="F248" i="18"/>
  <c r="F185" i="18"/>
  <c r="F134" i="18"/>
  <c r="F126" i="18"/>
  <c r="F166" i="18"/>
  <c r="F182" i="18"/>
  <c r="X18" i="19"/>
  <c r="P27" i="19"/>
  <c r="V242" i="18"/>
  <c r="V236" i="18"/>
  <c r="V232" i="18"/>
  <c r="V220" i="18"/>
  <c r="V216" i="18"/>
  <c r="V212" i="18"/>
  <c r="V208" i="18"/>
  <c r="V204" i="18"/>
  <c r="V200" i="18"/>
  <c r="V188" i="18"/>
  <c r="V180" i="18"/>
  <c r="V176" i="18"/>
  <c r="V160" i="18"/>
  <c r="V156" i="18"/>
  <c r="V144" i="18"/>
  <c r="V136" i="18"/>
  <c r="V128" i="18"/>
  <c r="V120" i="18"/>
  <c r="V112" i="18"/>
  <c r="V104" i="18"/>
  <c r="V96" i="18"/>
  <c r="V235" i="18"/>
  <c r="V231" i="18"/>
  <c r="V219" i="18"/>
  <c r="V215" i="18"/>
  <c r="V211" i="18"/>
  <c r="V207" i="18"/>
  <c r="V203" i="18"/>
  <c r="V199" i="18"/>
  <c r="V191" i="18"/>
  <c r="V187" i="18"/>
  <c r="V179" i="18"/>
  <c r="V175" i="18"/>
  <c r="V167" i="18"/>
  <c r="V155" i="18"/>
  <c r="V143" i="18"/>
  <c r="V135" i="18"/>
  <c r="V127" i="18"/>
  <c r="V119" i="18"/>
  <c r="V111" i="18"/>
  <c r="V103" i="18"/>
  <c r="V95" i="18"/>
  <c r="V248" i="18"/>
  <c r="V240" i="18"/>
  <c r="V218" i="18"/>
  <c r="V210" i="18"/>
  <c r="V206" i="18"/>
  <c r="V202" i="18"/>
  <c r="V190" i="18"/>
  <c r="V182" i="18"/>
  <c r="V178" i="18"/>
  <c r="V166" i="18"/>
  <c r="V154" i="18"/>
  <c r="V142" i="18"/>
  <c r="V134" i="18"/>
  <c r="V126" i="18"/>
  <c r="V118" i="18"/>
  <c r="V110" i="18"/>
  <c r="V102" i="18"/>
  <c r="V243" i="18"/>
  <c r="V225" i="18"/>
  <c r="V201" i="18"/>
  <c r="V193" i="18"/>
  <c r="V181" i="18"/>
  <c r="V169" i="18"/>
  <c r="V165" i="18"/>
  <c r="V153" i="18"/>
  <c r="V141" i="18"/>
  <c r="V133" i="18"/>
  <c r="V125" i="18"/>
  <c r="V117" i="18"/>
  <c r="V109" i="18"/>
  <c r="V101" i="18"/>
  <c r="V238" i="18"/>
  <c r="V228" i="18"/>
  <c r="V224" i="18"/>
  <c r="V196" i="18"/>
  <c r="V192" i="18"/>
  <c r="V184" i="18"/>
  <c r="V172" i="18"/>
  <c r="V168" i="18"/>
  <c r="V164" i="18"/>
  <c r="V152" i="18"/>
  <c r="V148" i="18"/>
  <c r="V140" i="18"/>
  <c r="V132" i="18"/>
  <c r="V124" i="18"/>
  <c r="V116" i="18"/>
  <c r="V108" i="18"/>
  <c r="V100" i="18"/>
  <c r="Z12" i="18"/>
  <c r="V241" i="18"/>
  <c r="V227" i="18"/>
  <c r="V223" i="18"/>
  <c r="V195" i="18"/>
  <c r="V183" i="18"/>
  <c r="V171" i="18"/>
  <c r="V163" i="18"/>
  <c r="V159" i="18"/>
  <c r="V151" i="18"/>
  <c r="T146" i="18"/>
  <c r="V139" i="18"/>
  <c r="V131" i="18"/>
  <c r="V123" i="18"/>
  <c r="V115" i="18"/>
  <c r="V107" i="18"/>
  <c r="V99" i="18"/>
  <c r="V244" i="18"/>
  <c r="V234" i="18"/>
  <c r="V230" i="18"/>
  <c r="V226" i="18"/>
  <c r="V222" i="18"/>
  <c r="V214" i="18"/>
  <c r="V198" i="18"/>
  <c r="V194" i="18"/>
  <c r="V186" i="18"/>
  <c r="V174" i="18"/>
  <c r="V170" i="18"/>
  <c r="V162" i="18"/>
  <c r="V158" i="18"/>
  <c r="V150" i="18"/>
  <c r="V138" i="18"/>
  <c r="V130" i="18"/>
  <c r="V122" i="18"/>
  <c r="V114" i="18"/>
  <c r="V106" i="18"/>
  <c r="V98" i="18"/>
  <c r="V233" i="18"/>
  <c r="V213" i="18"/>
  <c r="V157" i="18"/>
  <c r="V105" i="18"/>
  <c r="V113" i="18"/>
  <c r="V217" i="18"/>
  <c r="V205" i="18"/>
  <c r="V177" i="18"/>
  <c r="V121" i="18"/>
  <c r="V229" i="18"/>
  <c r="V189" i="18"/>
  <c r="V161" i="18"/>
  <c r="V137" i="18"/>
  <c r="V129" i="18"/>
  <c r="V209" i="18"/>
  <c r="V149" i="18"/>
  <c r="V239" i="18"/>
  <c r="V221" i="18"/>
  <c r="V197" i="18"/>
  <c r="V173" i="18"/>
  <c r="V97" i="18"/>
  <c r="V185" i="18"/>
  <c r="F212" i="15"/>
  <c r="F208" i="15"/>
  <c r="F200" i="15"/>
  <c r="F192" i="15"/>
  <c r="F179" i="15"/>
  <c r="F176" i="15"/>
  <c r="F164" i="15"/>
  <c r="F159" i="15"/>
  <c r="F152" i="15"/>
  <c r="F140" i="15"/>
  <c r="F136" i="15"/>
  <c r="F128" i="15"/>
  <c r="F216" i="15"/>
  <c r="F211" i="15"/>
  <c r="F199" i="15"/>
  <c r="F195" i="15"/>
  <c r="F191" i="15"/>
  <c r="F187" i="15"/>
  <c r="F183" i="15"/>
  <c r="F170" i="15"/>
  <c r="F219" i="15"/>
  <c r="F214" i="15"/>
  <c r="F210" i="15"/>
  <c r="F198" i="15"/>
  <c r="F194" i="15"/>
  <c r="F190" i="15"/>
  <c r="F186" i="15"/>
  <c r="F182" i="15"/>
  <c r="F178" i="15"/>
  <c r="F166" i="15"/>
  <c r="F161" i="15"/>
  <c r="F158" i="15"/>
  <c r="F204" i="15"/>
  <c r="F197" i="15"/>
  <c r="F189" i="15"/>
  <c r="F185" i="15"/>
  <c r="F181" i="15"/>
  <c r="F172" i="15"/>
  <c r="F169" i="15"/>
  <c r="F157" i="15"/>
  <c r="F148" i="15"/>
  <c r="F145" i="15"/>
  <c r="F133" i="15"/>
  <c r="F121" i="15"/>
  <c r="F217" i="15"/>
  <c r="F207" i="15"/>
  <c r="F180" i="15"/>
  <c r="F175" i="15"/>
  <c r="F163" i="15"/>
  <c r="F160" i="15"/>
  <c r="F151" i="15"/>
  <c r="F144" i="15"/>
  <c r="F220" i="15"/>
  <c r="F203" i="15"/>
  <c r="F224" i="15"/>
  <c r="F213" i="15"/>
  <c r="F209" i="15"/>
  <c r="F206" i="15"/>
  <c r="F202" i="15"/>
  <c r="F193" i="15"/>
  <c r="F177" i="15"/>
  <c r="F174" i="15"/>
  <c r="F165" i="15"/>
  <c r="F162" i="15"/>
  <c r="F153" i="15"/>
  <c r="F150" i="15"/>
  <c r="F142" i="15"/>
  <c r="F130" i="15"/>
  <c r="F118" i="15"/>
  <c r="F173" i="15"/>
  <c r="F134" i="15"/>
  <c r="F117" i="15"/>
  <c r="F109" i="15"/>
  <c r="F101" i="15"/>
  <c r="F93" i="15"/>
  <c r="F85" i="15"/>
  <c r="F218" i="15"/>
  <c r="F167" i="15"/>
  <c r="F154" i="15"/>
  <c r="F135" i="15"/>
  <c r="F119" i="15"/>
  <c r="F116" i="15"/>
  <c r="F108" i="15"/>
  <c r="F100" i="15"/>
  <c r="F92" i="15"/>
  <c r="F84" i="15"/>
  <c r="L12" i="15"/>
  <c r="F201" i="15"/>
  <c r="F168" i="15"/>
  <c r="F155" i="15"/>
  <c r="F141" i="15"/>
  <c r="F129" i="15"/>
  <c r="F127" i="15"/>
  <c r="F120" i="15"/>
  <c r="F115" i="15"/>
  <c r="F107" i="15"/>
  <c r="F99" i="15"/>
  <c r="F91" i="15"/>
  <c r="F83" i="15"/>
  <c r="F188" i="15"/>
  <c r="F156" i="15"/>
  <c r="F149" i="15"/>
  <c r="F147" i="15"/>
  <c r="F114" i="15"/>
  <c r="F106" i="15"/>
  <c r="F98" i="15"/>
  <c r="F90" i="15"/>
  <c r="F82" i="15"/>
  <c r="F205" i="15"/>
  <c r="F184" i="15"/>
  <c r="F146" i="15"/>
  <c r="F113" i="15"/>
  <c r="F105" i="15"/>
  <c r="F97" i="15"/>
  <c r="F89" i="15"/>
  <c r="F196" i="15"/>
  <c r="F137" i="15"/>
  <c r="F131" i="15"/>
  <c r="F126" i="15"/>
  <c r="F124" i="15"/>
  <c r="F122" i="15"/>
  <c r="F112" i="15"/>
  <c r="F104" i="15"/>
  <c r="F96" i="15"/>
  <c r="F88" i="15"/>
  <c r="F171" i="15"/>
  <c r="F143" i="15"/>
  <c r="F139" i="15"/>
  <c r="F132" i="15"/>
  <c r="D124" i="15"/>
  <c r="F111" i="15"/>
  <c r="F103" i="15"/>
  <c r="F95" i="15"/>
  <c r="F87" i="15"/>
  <c r="F81" i="15"/>
  <c r="F94" i="15"/>
  <c r="F86" i="15"/>
  <c r="F110" i="15"/>
  <c r="F102" i="15"/>
  <c r="F138" i="15"/>
  <c r="N27" i="19"/>
  <c r="H31" i="19"/>
  <c r="H27" i="8"/>
  <c r="N18" i="8"/>
  <c r="T27" i="8"/>
  <c r="Z18" i="8"/>
  <c r="D27" i="4"/>
  <c r="L18" i="4"/>
  <c r="F260" i="3"/>
  <c r="F242" i="3"/>
  <c r="F235" i="3"/>
  <c r="F231" i="3"/>
  <c r="F227" i="3"/>
  <c r="F214" i="3"/>
  <c r="F211" i="3"/>
  <c r="F194" i="3"/>
  <c r="F191" i="3"/>
  <c r="F182" i="3"/>
  <c r="F175" i="3"/>
  <c r="F163" i="3"/>
  <c r="F158" i="3"/>
  <c r="F157" i="3"/>
  <c r="F151" i="3"/>
  <c r="F143" i="3"/>
  <c r="F135" i="3"/>
  <c r="F127" i="3"/>
  <c r="F119" i="3"/>
  <c r="F111" i="3"/>
  <c r="F103" i="3"/>
  <c r="F255" i="3"/>
  <c r="F245" i="3"/>
  <c r="F234" i="3"/>
  <c r="F230" i="3"/>
  <c r="F226" i="3"/>
  <c r="F222" i="3"/>
  <c r="F218" i="3"/>
  <c r="F205" i="3"/>
  <c r="F202" i="3"/>
  <c r="F178" i="3"/>
  <c r="F174" i="3"/>
  <c r="F169" i="3"/>
  <c r="F162" i="3"/>
  <c r="F150" i="3"/>
  <c r="F142" i="3"/>
  <c r="F134" i="3"/>
  <c r="F126" i="3"/>
  <c r="F118" i="3"/>
  <c r="F110" i="3"/>
  <c r="F270" i="3"/>
  <c r="F258" i="3"/>
  <c r="F241" i="3"/>
  <c r="F233" i="3"/>
  <c r="F225" i="3"/>
  <c r="F221" i="3"/>
  <c r="F217" i="3"/>
  <c r="F213" i="3"/>
  <c r="F208" i="3"/>
  <c r="F196" i="3"/>
  <c r="F193" i="3"/>
  <c r="F184" i="3"/>
  <c r="F181" i="3"/>
  <c r="F173" i="3"/>
  <c r="F161" i="3"/>
  <c r="F149" i="3"/>
  <c r="F141" i="3"/>
  <c r="F133" i="3"/>
  <c r="F125" i="3"/>
  <c r="F117" i="3"/>
  <c r="F109" i="3"/>
  <c r="F261" i="3"/>
  <c r="F251" i="3"/>
  <c r="F247" i="3"/>
  <c r="F244" i="3"/>
  <c r="F240" i="3"/>
  <c r="F224" i="3"/>
  <c r="F220" i="3"/>
  <c r="F216" i="3"/>
  <c r="F204" i="3"/>
  <c r="F199" i="3"/>
  <c r="F187" i="3"/>
  <c r="F180" i="3"/>
  <c r="F172" i="3"/>
  <c r="F168" i="3"/>
  <c r="F160" i="3"/>
  <c r="F148" i="3"/>
  <c r="F140" i="3"/>
  <c r="F132" i="3"/>
  <c r="F124" i="3"/>
  <c r="F116" i="3"/>
  <c r="F108" i="3"/>
  <c r="L12" i="3"/>
  <c r="N12" i="3" s="1"/>
  <c r="F256" i="3"/>
  <c r="F243" i="3"/>
  <c r="F239" i="3"/>
  <c r="F215" i="3"/>
  <c r="F210" i="3"/>
  <c r="F207" i="3"/>
  <c r="F195" i="3"/>
  <c r="F190" i="3"/>
  <c r="F183" i="3"/>
  <c r="F171" i="3"/>
  <c r="F167" i="3"/>
  <c r="F159" i="3"/>
  <c r="F147" i="3"/>
  <c r="F139" i="3"/>
  <c r="F131" i="3"/>
  <c r="F123" i="3"/>
  <c r="F115" i="3"/>
  <c r="F107" i="3"/>
  <c r="F102" i="3"/>
  <c r="F259" i="3"/>
  <c r="F250" i="3"/>
  <c r="F246" i="3"/>
  <c r="F238" i="3"/>
  <c r="F229" i="3"/>
  <c r="F206" i="3"/>
  <c r="F201" i="3"/>
  <c r="F198" i="3"/>
  <c r="F186" i="3"/>
  <c r="F177" i="3"/>
  <c r="F170" i="3"/>
  <c r="F166" i="3"/>
  <c r="F146" i="3"/>
  <c r="F138" i="3"/>
  <c r="F130" i="3"/>
  <c r="F122" i="3"/>
  <c r="F114" i="3"/>
  <c r="F106" i="3"/>
  <c r="F271" i="3"/>
  <c r="F262" i="3"/>
  <c r="F254" i="3"/>
  <c r="F249" i="3"/>
  <c r="F237" i="3"/>
  <c r="F232" i="3"/>
  <c r="F212" i="3"/>
  <c r="F209" i="3"/>
  <c r="F197" i="3"/>
  <c r="F192" i="3"/>
  <c r="F189" i="3"/>
  <c r="F185" i="3"/>
  <c r="F165" i="3"/>
  <c r="D155" i="3"/>
  <c r="F153" i="3"/>
  <c r="F145" i="3"/>
  <c r="F137" i="3"/>
  <c r="F129" i="3"/>
  <c r="F121" i="3"/>
  <c r="F113" i="3"/>
  <c r="F105" i="3"/>
  <c r="F266" i="3"/>
  <c r="F257" i="3"/>
  <c r="F252" i="3"/>
  <c r="F248" i="3"/>
  <c r="F236" i="3"/>
  <c r="F228" i="3"/>
  <c r="F223" i="3"/>
  <c r="F219" i="3"/>
  <c r="F203" i="3"/>
  <c r="F200" i="3"/>
  <c r="F188" i="3"/>
  <c r="F179" i="3"/>
  <c r="F176" i="3"/>
  <c r="F164" i="3"/>
  <c r="F152" i="3"/>
  <c r="F144" i="3"/>
  <c r="F136" i="3"/>
  <c r="F128" i="3"/>
  <c r="F120" i="3"/>
  <c r="F112" i="3"/>
  <c r="F104" i="3"/>
  <c r="X18" i="7"/>
  <c r="P27" i="7"/>
  <c r="V260" i="3"/>
  <c r="V250" i="3"/>
  <c r="V246" i="3"/>
  <c r="V242" i="3"/>
  <c r="V238" i="3"/>
  <c r="V214" i="3"/>
  <c r="V206" i="3"/>
  <c r="V198" i="3"/>
  <c r="V194" i="3"/>
  <c r="V186" i="3"/>
  <c r="V182" i="3"/>
  <c r="V170" i="3"/>
  <c r="V166" i="3"/>
  <c r="V158" i="3"/>
  <c r="V146" i="3"/>
  <c r="V138" i="3"/>
  <c r="V130" i="3"/>
  <c r="V122" i="3"/>
  <c r="V114" i="3"/>
  <c r="V106" i="3"/>
  <c r="V255" i="3"/>
  <c r="V249" i="3"/>
  <c r="V245" i="3"/>
  <c r="V237" i="3"/>
  <c r="V209" i="3"/>
  <c r="V205" i="3"/>
  <c r="V197" i="3"/>
  <c r="V189" i="3"/>
  <c r="V185" i="3"/>
  <c r="V169" i="3"/>
  <c r="V165" i="3"/>
  <c r="V153" i="3"/>
  <c r="V145" i="3"/>
  <c r="V137" i="3"/>
  <c r="V129" i="3"/>
  <c r="V121" i="3"/>
  <c r="V113" i="3"/>
  <c r="V105" i="3"/>
  <c r="V270" i="3"/>
  <c r="V266" i="3"/>
  <c r="V258" i="3"/>
  <c r="V252" i="3"/>
  <c r="V248" i="3"/>
  <c r="V236" i="3"/>
  <c r="V228" i="3"/>
  <c r="V208" i="3"/>
  <c r="V200" i="3"/>
  <c r="V196" i="3"/>
  <c r="V188" i="3"/>
  <c r="V184" i="3"/>
  <c r="V176" i="3"/>
  <c r="V164" i="3"/>
  <c r="V152" i="3"/>
  <c r="V144" i="3"/>
  <c r="V136" i="3"/>
  <c r="V128" i="3"/>
  <c r="V120" i="3"/>
  <c r="V112" i="3"/>
  <c r="V104" i="3"/>
  <c r="V261" i="3"/>
  <c r="V251" i="3"/>
  <c r="V247" i="3"/>
  <c r="V235" i="3"/>
  <c r="V231" i="3"/>
  <c r="V227" i="3"/>
  <c r="V211" i="3"/>
  <c r="V199" i="3"/>
  <c r="V191" i="3"/>
  <c r="V187" i="3"/>
  <c r="V175" i="3"/>
  <c r="V163" i="3"/>
  <c r="V151" i="3"/>
  <c r="V143" i="3"/>
  <c r="V135" i="3"/>
  <c r="V127" i="3"/>
  <c r="V119" i="3"/>
  <c r="V111" i="3"/>
  <c r="V103" i="3"/>
  <c r="V256" i="3"/>
  <c r="V234" i="3"/>
  <c r="V230" i="3"/>
  <c r="V226" i="3"/>
  <c r="V222" i="3"/>
  <c r="V218" i="3"/>
  <c r="V210" i="3"/>
  <c r="V202" i="3"/>
  <c r="V190" i="3"/>
  <c r="V178" i="3"/>
  <c r="V174" i="3"/>
  <c r="V162" i="3"/>
  <c r="V150" i="3"/>
  <c r="V142" i="3"/>
  <c r="V134" i="3"/>
  <c r="V126" i="3"/>
  <c r="V118" i="3"/>
  <c r="V110" i="3"/>
  <c r="V102" i="3"/>
  <c r="Z12" i="3"/>
  <c r="V259" i="3"/>
  <c r="V241" i="3"/>
  <c r="V233" i="3"/>
  <c r="V229" i="3"/>
  <c r="V225" i="3"/>
  <c r="V221" i="3"/>
  <c r="V217" i="3"/>
  <c r="V213" i="3"/>
  <c r="V201" i="3"/>
  <c r="V193" i="3"/>
  <c r="V181" i="3"/>
  <c r="V177" i="3"/>
  <c r="V173" i="3"/>
  <c r="V161" i="3"/>
  <c r="V157" i="3"/>
  <c r="V149" i="3"/>
  <c r="V141" i="3"/>
  <c r="V133" i="3"/>
  <c r="V125" i="3"/>
  <c r="V117" i="3"/>
  <c r="V109" i="3"/>
  <c r="V271" i="3"/>
  <c r="V262" i="3"/>
  <c r="V254" i="3"/>
  <c r="V244" i="3"/>
  <c r="V240" i="3"/>
  <c r="V232" i="3"/>
  <c r="V224" i="3"/>
  <c r="V220" i="3"/>
  <c r="V216" i="3"/>
  <c r="V212" i="3"/>
  <c r="V204" i="3"/>
  <c r="V192" i="3"/>
  <c r="V180" i="3"/>
  <c r="V172" i="3"/>
  <c r="V168" i="3"/>
  <c r="V160" i="3"/>
  <c r="T155" i="3"/>
  <c r="V148" i="3"/>
  <c r="V140" i="3"/>
  <c r="V132" i="3"/>
  <c r="V124" i="3"/>
  <c r="V116" i="3"/>
  <c r="V108" i="3"/>
  <c r="V257" i="3"/>
  <c r="V243" i="3"/>
  <c r="V239" i="3"/>
  <c r="V223" i="3"/>
  <c r="V219" i="3"/>
  <c r="V215" i="3"/>
  <c r="V207" i="3"/>
  <c r="V203" i="3"/>
  <c r="V195" i="3"/>
  <c r="V183" i="3"/>
  <c r="V179" i="3"/>
  <c r="V171" i="3"/>
  <c r="V167" i="3"/>
  <c r="V159" i="3"/>
  <c r="V147" i="3"/>
  <c r="V139" i="3"/>
  <c r="V131" i="3"/>
  <c r="V123" i="3"/>
  <c r="V115" i="3"/>
  <c r="V107" i="3"/>
  <c r="D31" i="6"/>
  <c r="P36" i="88"/>
  <c r="X32" i="88"/>
  <c r="X18" i="50"/>
  <c r="P27" i="50"/>
  <c r="N61" i="97"/>
  <c r="J61" i="97"/>
  <c r="P36" i="98"/>
  <c r="L61" i="97"/>
  <c r="V74" i="95"/>
  <c r="V70" i="95"/>
  <c r="V66" i="95"/>
  <c r="V62" i="95"/>
  <c r="V58" i="95"/>
  <c r="V50" i="95"/>
  <c r="V88" i="95"/>
  <c r="V83" i="95"/>
  <c r="V81" i="95"/>
  <c r="V77" i="95"/>
  <c r="V69" i="95"/>
  <c r="V65" i="95"/>
  <c r="V61" i="95"/>
  <c r="V53" i="95"/>
  <c r="V45" i="95"/>
  <c r="V79" i="95"/>
  <c r="V73" i="95"/>
  <c r="V72" i="95"/>
  <c r="V68" i="95"/>
  <c r="V67" i="95"/>
  <c r="V44" i="95"/>
  <c r="V35" i="95"/>
  <c r="V34" i="95"/>
  <c r="V27" i="95"/>
  <c r="V23" i="95"/>
  <c r="V21" i="95"/>
  <c r="V76" i="95"/>
  <c r="V71" i="95"/>
  <c r="V57" i="95"/>
  <c r="V56" i="95"/>
  <c r="V51" i="95"/>
  <c r="V41" i="95"/>
  <c r="V40" i="95"/>
  <c r="V26" i="95"/>
  <c r="V64" i="95"/>
  <c r="V63" i="95"/>
  <c r="V60" i="95"/>
  <c r="V25" i="95"/>
  <c r="V59" i="95"/>
  <c r="V39" i="95"/>
  <c r="V31" i="95"/>
  <c r="V30" i="95"/>
  <c r="V29" i="95"/>
  <c r="V17" i="95"/>
  <c r="V85" i="95"/>
  <c r="V54" i="95"/>
  <c r="V46" i="95"/>
  <c r="V75" i="95"/>
  <c r="V36" i="95"/>
  <c r="V24" i="95"/>
  <c r="Z12" i="95"/>
  <c r="V37" i="95"/>
  <c r="V28" i="95"/>
  <c r="V52" i="95"/>
  <c r="V32" i="95"/>
  <c r="V42" i="95"/>
  <c r="V33" i="95"/>
  <c r="V18" i="95"/>
  <c r="V55" i="95"/>
  <c r="V48" i="95"/>
  <c r="V47" i="95"/>
  <c r="V19" i="95"/>
  <c r="V43" i="95"/>
  <c r="T21" i="95"/>
  <c r="V49" i="95"/>
  <c r="V38" i="95"/>
  <c r="T26" i="93"/>
  <c r="Z16" i="93"/>
  <c r="R73" i="92"/>
  <c r="R58" i="92"/>
  <c r="R53" i="92"/>
  <c r="R50" i="92"/>
  <c r="R45" i="92"/>
  <c r="R42" i="92"/>
  <c r="R34" i="92"/>
  <c r="R29" i="92"/>
  <c r="R81" i="92"/>
  <c r="R75" i="92"/>
  <c r="R71" i="92"/>
  <c r="R55" i="92"/>
  <c r="R52" i="92"/>
  <c r="R47" i="92"/>
  <c r="R44" i="92"/>
  <c r="R39" i="92"/>
  <c r="R27" i="92"/>
  <c r="R70" i="92"/>
  <c r="R38" i="92"/>
  <c r="R26" i="92"/>
  <c r="R21" i="92"/>
  <c r="R67" i="92"/>
  <c r="R63" i="92"/>
  <c r="R59" i="92"/>
  <c r="R56" i="92"/>
  <c r="R51" i="92"/>
  <c r="R48" i="92"/>
  <c r="R43" i="92"/>
  <c r="R40" i="92"/>
  <c r="R35" i="92"/>
  <c r="R31" i="92"/>
  <c r="R24" i="92"/>
  <c r="R19" i="92"/>
  <c r="R72" i="92"/>
  <c r="R66" i="92"/>
  <c r="R49" i="92"/>
  <c r="R32" i="92"/>
  <c r="R18" i="92"/>
  <c r="R74" i="92"/>
  <c r="R33" i="92"/>
  <c r="R25" i="92"/>
  <c r="R64" i="92"/>
  <c r="R54" i="92"/>
  <c r="R23" i="92"/>
  <c r="R77" i="92"/>
  <c r="R68" i="92"/>
  <c r="R41" i="92"/>
  <c r="R62" i="92"/>
  <c r="R37" i="92"/>
  <c r="R65" i="92"/>
  <c r="R69" i="92"/>
  <c r="R36" i="92"/>
  <c r="R30" i="92"/>
  <c r="R17" i="92"/>
  <c r="P21" i="92"/>
  <c r="X12" i="92"/>
  <c r="Z12" i="92" s="1"/>
  <c r="R60" i="92"/>
  <c r="R57" i="92"/>
  <c r="R46" i="92"/>
  <c r="R61" i="92"/>
  <c r="R28" i="92"/>
  <c r="H38" i="83"/>
  <c r="N16" i="83"/>
  <c r="L80" i="79"/>
  <c r="D32" i="88"/>
  <c r="L16" i="88"/>
  <c r="D88" i="85"/>
  <c r="L84" i="85"/>
  <c r="D36" i="80"/>
  <c r="L32" i="80"/>
  <c r="N32" i="80" s="1"/>
  <c r="D29" i="87"/>
  <c r="L25" i="87"/>
  <c r="N25" i="87" s="1"/>
  <c r="R108" i="77"/>
  <c r="R97" i="77"/>
  <c r="R61" i="77"/>
  <c r="R57" i="77"/>
  <c r="R45" i="77"/>
  <c r="R38" i="77"/>
  <c r="R104" i="77"/>
  <c r="R101" i="77"/>
  <c r="R93" i="77"/>
  <c r="R89" i="77"/>
  <c r="R85" i="77"/>
  <c r="R80" i="77"/>
  <c r="R77" i="77"/>
  <c r="R72" i="77"/>
  <c r="R69" i="77"/>
  <c r="R56" i="77"/>
  <c r="R44" i="77"/>
  <c r="R96" i="77"/>
  <c r="R60" i="77"/>
  <c r="R55" i="77"/>
  <c r="R43" i="77"/>
  <c r="R112" i="77"/>
  <c r="R106" i="77"/>
  <c r="R103" i="77"/>
  <c r="R82" i="77"/>
  <c r="R79" i="77"/>
  <c r="R74" i="77"/>
  <c r="R71" i="77"/>
  <c r="R66" i="77"/>
  <c r="R54" i="77"/>
  <c r="R42" i="77"/>
  <c r="R99" i="77"/>
  <c r="R95" i="77"/>
  <c r="R91" i="77"/>
  <c r="R87" i="77"/>
  <c r="R63" i="77"/>
  <c r="R59" i="77"/>
  <c r="R39" i="77"/>
  <c r="R90" i="77"/>
  <c r="R105" i="77"/>
  <c r="R88" i="77"/>
  <c r="R73" i="77"/>
  <c r="R51" i="77"/>
  <c r="R50" i="77"/>
  <c r="X12" i="77"/>
  <c r="Z12" i="77" s="1"/>
  <c r="R98" i="77"/>
  <c r="R83" i="77"/>
  <c r="P48" i="77"/>
  <c r="R41" i="77"/>
  <c r="R40" i="77"/>
  <c r="R65" i="77"/>
  <c r="R64" i="77"/>
  <c r="R53" i="77"/>
  <c r="R52" i="77"/>
  <c r="R92" i="77"/>
  <c r="R67" i="77"/>
  <c r="R46" i="77"/>
  <c r="R86" i="77"/>
  <c r="R78" i="77"/>
  <c r="R102" i="77"/>
  <c r="R70" i="77"/>
  <c r="R94" i="77"/>
  <c r="R58" i="77"/>
  <c r="R81" i="77"/>
  <c r="R62" i="77"/>
  <c r="R68" i="77"/>
  <c r="R84" i="77"/>
  <c r="R75" i="77"/>
  <c r="R100" i="77"/>
  <c r="R76" i="77"/>
  <c r="R69" i="73"/>
  <c r="R65" i="73"/>
  <c r="R57" i="73"/>
  <c r="R37" i="73"/>
  <c r="R33" i="73"/>
  <c r="R26" i="73"/>
  <c r="R21" i="73"/>
  <c r="R68" i="73"/>
  <c r="R64" i="73"/>
  <c r="R60" i="73"/>
  <c r="R53" i="73"/>
  <c r="R48" i="73"/>
  <c r="R45" i="73"/>
  <c r="R32" i="73"/>
  <c r="R20" i="73"/>
  <c r="X12" i="73"/>
  <c r="Z12" i="73" s="1"/>
  <c r="R74" i="73"/>
  <c r="R63" i="73"/>
  <c r="R59" i="73"/>
  <c r="R56" i="73"/>
  <c r="R36" i="73"/>
  <c r="R31" i="73"/>
  <c r="R19" i="73"/>
  <c r="R78" i="73"/>
  <c r="R72" i="73"/>
  <c r="R71" i="73"/>
  <c r="R67" i="73"/>
  <c r="R62" i="73"/>
  <c r="R50" i="73"/>
  <c r="R47" i="73"/>
  <c r="R42" i="73"/>
  <c r="R30" i="73"/>
  <c r="R58" i="73"/>
  <c r="R41" i="73"/>
  <c r="R29" i="73"/>
  <c r="R18" i="73"/>
  <c r="R55" i="73"/>
  <c r="R39" i="73"/>
  <c r="R35" i="73"/>
  <c r="R27" i="73"/>
  <c r="R25" i="73"/>
  <c r="P23" i="73"/>
  <c r="R49" i="73"/>
  <c r="R34" i="73"/>
  <c r="R23" i="73"/>
  <c r="R38" i="73"/>
  <c r="R43" i="73"/>
  <c r="R61" i="73"/>
  <c r="R46" i="73"/>
  <c r="R44" i="73"/>
  <c r="R28" i="73"/>
  <c r="R70" i="73"/>
  <c r="R54" i="73"/>
  <c r="R52" i="73"/>
  <c r="R66" i="73"/>
  <c r="R40" i="73"/>
  <c r="R51" i="73"/>
  <c r="H110" i="77"/>
  <c r="J136" i="69"/>
  <c r="J124" i="69"/>
  <c r="J118" i="69"/>
  <c r="J106" i="69"/>
  <c r="J98" i="69"/>
  <c r="J94" i="69"/>
  <c r="H83" i="69"/>
  <c r="J74" i="69"/>
  <c r="J66" i="69"/>
  <c r="J58" i="69"/>
  <c r="J141" i="69"/>
  <c r="J127" i="69"/>
  <c r="J117" i="69"/>
  <c r="J111" i="69"/>
  <c r="J105" i="69"/>
  <c r="J97" i="69"/>
  <c r="J93" i="69"/>
  <c r="J85" i="69"/>
  <c r="J81" i="69"/>
  <c r="J73" i="69"/>
  <c r="J65" i="69"/>
  <c r="J57" i="69"/>
  <c r="J144" i="69"/>
  <c r="J138" i="69"/>
  <c r="J130" i="69"/>
  <c r="J120" i="69"/>
  <c r="J114" i="69"/>
  <c r="J108" i="69"/>
  <c r="J102" i="69"/>
  <c r="J96" i="69"/>
  <c r="J92" i="69"/>
  <c r="J86" i="69"/>
  <c r="J80" i="69"/>
  <c r="J72" i="69"/>
  <c r="J64" i="69"/>
  <c r="J135" i="69"/>
  <c r="J123" i="69"/>
  <c r="J91" i="69"/>
  <c r="J79" i="69"/>
  <c r="J71" i="69"/>
  <c r="J63" i="69"/>
  <c r="J140" i="69"/>
  <c r="J134" i="69"/>
  <c r="J126" i="69"/>
  <c r="J122" i="69"/>
  <c r="J116" i="69"/>
  <c r="J110" i="69"/>
  <c r="J104" i="69"/>
  <c r="J90" i="69"/>
  <c r="J78" i="69"/>
  <c r="J70" i="69"/>
  <c r="J62" i="69"/>
  <c r="J56" i="69"/>
  <c r="J132" i="69"/>
  <c r="J128" i="69"/>
  <c r="J112" i="69"/>
  <c r="J100" i="69"/>
  <c r="J88" i="69"/>
  <c r="J76" i="69"/>
  <c r="J68" i="69"/>
  <c r="J60" i="69"/>
  <c r="N12" i="69"/>
  <c r="J149" i="69"/>
  <c r="J143" i="69"/>
  <c r="J139" i="69"/>
  <c r="J131" i="69"/>
  <c r="J121" i="69"/>
  <c r="J115" i="69"/>
  <c r="J109" i="69"/>
  <c r="J103" i="69"/>
  <c r="J99" i="69"/>
  <c r="J87" i="69"/>
  <c r="J83" i="69"/>
  <c r="J75" i="69"/>
  <c r="J67" i="69"/>
  <c r="J59" i="69"/>
  <c r="J113" i="69"/>
  <c r="J101" i="69"/>
  <c r="J89" i="69"/>
  <c r="J137" i="69"/>
  <c r="J129" i="69"/>
  <c r="J125" i="69"/>
  <c r="J95" i="69"/>
  <c r="J69" i="69"/>
  <c r="J119" i="69"/>
  <c r="J61" i="69"/>
  <c r="J133" i="69"/>
  <c r="J77" i="69"/>
  <c r="J145" i="69"/>
  <c r="J107" i="69"/>
  <c r="J81" i="70"/>
  <c r="J73" i="70"/>
  <c r="J69" i="70"/>
  <c r="J76" i="70"/>
  <c r="J72" i="70"/>
  <c r="J68" i="70"/>
  <c r="J77" i="70"/>
  <c r="J71" i="70"/>
  <c r="J62" i="70"/>
  <c r="J58" i="70"/>
  <c r="J61" i="70"/>
  <c r="J49" i="70"/>
  <c r="J37" i="70"/>
  <c r="J27" i="70"/>
  <c r="J64" i="70"/>
  <c r="J60" i="70"/>
  <c r="J54" i="70"/>
  <c r="J46" i="70"/>
  <c r="J42" i="70"/>
  <c r="J36" i="70"/>
  <c r="J70" i="70"/>
  <c r="J57" i="70"/>
  <c r="J51" i="70"/>
  <c r="J35" i="70"/>
  <c r="J48" i="70"/>
  <c r="J34" i="70"/>
  <c r="J74" i="70"/>
  <c r="J66" i="70"/>
  <c r="J56" i="70"/>
  <c r="J50" i="70"/>
  <c r="J44" i="70"/>
  <c r="J40" i="70"/>
  <c r="J32" i="70"/>
  <c r="J28" i="70"/>
  <c r="N12" i="70"/>
  <c r="J65" i="70"/>
  <c r="J55" i="70"/>
  <c r="J47" i="70"/>
  <c r="J43" i="70"/>
  <c r="J39" i="70"/>
  <c r="J33" i="70"/>
  <c r="J67" i="70"/>
  <c r="J59" i="70"/>
  <c r="J52" i="70"/>
  <c r="J41" i="70"/>
  <c r="J38" i="70"/>
  <c r="J53" i="70"/>
  <c r="J45" i="70"/>
  <c r="H30" i="70"/>
  <c r="J63" i="70"/>
  <c r="J118" i="66"/>
  <c r="J108" i="66"/>
  <c r="J98" i="66"/>
  <c r="J94" i="66"/>
  <c r="J88" i="66"/>
  <c r="J82" i="66"/>
  <c r="J74" i="66"/>
  <c r="J70" i="66"/>
  <c r="J62" i="66"/>
  <c r="J50" i="66"/>
  <c r="J42" i="66"/>
  <c r="J113" i="66"/>
  <c r="J101" i="66"/>
  <c r="J97" i="66"/>
  <c r="J91" i="66"/>
  <c r="J85" i="66"/>
  <c r="J79" i="66"/>
  <c r="J73" i="66"/>
  <c r="J69" i="66"/>
  <c r="H58" i="66"/>
  <c r="J58" i="66" s="1"/>
  <c r="J49" i="66"/>
  <c r="J41" i="66"/>
  <c r="J104" i="66"/>
  <c r="J100" i="66"/>
  <c r="J96" i="66"/>
  <c r="J72" i="66"/>
  <c r="J68" i="66"/>
  <c r="J60" i="66"/>
  <c r="J56" i="66"/>
  <c r="J48" i="66"/>
  <c r="J40" i="66"/>
  <c r="J111" i="66"/>
  <c r="J107" i="66"/>
  <c r="J103" i="66"/>
  <c r="J93" i="66"/>
  <c r="J87" i="66"/>
  <c r="J81" i="66"/>
  <c r="J67" i="66"/>
  <c r="J61" i="66"/>
  <c r="J55" i="66"/>
  <c r="J47" i="66"/>
  <c r="J106" i="66"/>
  <c r="J90" i="66"/>
  <c r="J84" i="66"/>
  <c r="J78" i="66"/>
  <c r="J66" i="66"/>
  <c r="J54" i="66"/>
  <c r="J46" i="66"/>
  <c r="J112" i="66"/>
  <c r="J102" i="66"/>
  <c r="J92" i="66"/>
  <c r="J86" i="66"/>
  <c r="J80" i="66"/>
  <c r="J76" i="66"/>
  <c r="J64" i="66"/>
  <c r="J52" i="66"/>
  <c r="J44" i="66"/>
  <c r="N12" i="66"/>
  <c r="J105" i="66"/>
  <c r="J83" i="66"/>
  <c r="J75" i="66"/>
  <c r="J63" i="66"/>
  <c r="J51" i="66"/>
  <c r="J43" i="66"/>
  <c r="J39" i="66"/>
  <c r="J109" i="66"/>
  <c r="J95" i="66"/>
  <c r="J71" i="66"/>
  <c r="J114" i="66"/>
  <c r="J99" i="66"/>
  <c r="J89" i="66"/>
  <c r="J45" i="66"/>
  <c r="J77" i="66"/>
  <c r="J65" i="66"/>
  <c r="J53" i="66"/>
  <c r="X22" i="65"/>
  <c r="P59" i="65"/>
  <c r="L22" i="65"/>
  <c r="D59" i="65"/>
  <c r="H84" i="64"/>
  <c r="N39" i="64"/>
  <c r="D99" i="62"/>
  <c r="L17" i="62"/>
  <c r="Z16" i="55"/>
  <c r="T30" i="55"/>
  <c r="X30" i="55" s="1"/>
  <c r="T50" i="60"/>
  <c r="L18" i="53"/>
  <c r="D27" i="53"/>
  <c r="L22" i="54"/>
  <c r="T27" i="46"/>
  <c r="X27" i="46" s="1"/>
  <c r="Z18" i="46"/>
  <c r="X18" i="53"/>
  <c r="L16" i="55"/>
  <c r="L27" i="43"/>
  <c r="D31" i="43"/>
  <c r="T64" i="48"/>
  <c r="Z17" i="48"/>
  <c r="P64" i="48"/>
  <c r="X17" i="48"/>
  <c r="R17" i="48"/>
  <c r="T103" i="42"/>
  <c r="V23" i="42"/>
  <c r="N110" i="39"/>
  <c r="Z106" i="36"/>
  <c r="Z24" i="36"/>
  <c r="T111" i="36"/>
  <c r="L24" i="36"/>
  <c r="N24" i="36" s="1"/>
  <c r="D111" i="36"/>
  <c r="J21" i="45"/>
  <c r="H31" i="49"/>
  <c r="N27" i="49"/>
  <c r="X110" i="39"/>
  <c r="Z110" i="39" s="1"/>
  <c r="F24" i="36"/>
  <c r="P31" i="26"/>
  <c r="R80" i="31"/>
  <c r="R57" i="31"/>
  <c r="R54" i="31"/>
  <c r="R49" i="31"/>
  <c r="R45" i="31"/>
  <c r="R41" i="31"/>
  <c r="R29" i="31"/>
  <c r="R72" i="31"/>
  <c r="R64" i="31"/>
  <c r="R60" i="31"/>
  <c r="R40" i="31"/>
  <c r="R28" i="31"/>
  <c r="X12" i="31"/>
  <c r="Z12" i="31" s="1"/>
  <c r="R78" i="31"/>
  <c r="R71" i="31"/>
  <c r="R63" i="31"/>
  <c r="R56" i="31"/>
  <c r="R51" i="31"/>
  <c r="R48" i="31"/>
  <c r="R44" i="31"/>
  <c r="R39" i="31"/>
  <c r="R84" i="31"/>
  <c r="R74" i="31"/>
  <c r="R70" i="31"/>
  <c r="R66" i="31"/>
  <c r="R62" i="31"/>
  <c r="R59" i="31"/>
  <c r="R38" i="31"/>
  <c r="R27" i="31"/>
  <c r="R69" i="31"/>
  <c r="R53" i="31"/>
  <c r="R50" i="31"/>
  <c r="R37" i="31"/>
  <c r="R79" i="31"/>
  <c r="R76" i="31"/>
  <c r="R73" i="31"/>
  <c r="R68" i="31"/>
  <c r="R65" i="31"/>
  <c r="R61" i="31"/>
  <c r="R36" i="31"/>
  <c r="R34" i="31"/>
  <c r="P32" i="31"/>
  <c r="R32" i="31" s="1"/>
  <c r="R55" i="31"/>
  <c r="R52" i="31"/>
  <c r="R47" i="31"/>
  <c r="R43" i="31"/>
  <c r="R75" i="31"/>
  <c r="R67" i="31"/>
  <c r="R58" i="31"/>
  <c r="R46" i="31"/>
  <c r="R42" i="31"/>
  <c r="R35" i="31"/>
  <c r="R30" i="31"/>
  <c r="T36" i="33"/>
  <c r="Z36" i="33" s="1"/>
  <c r="Z31" i="33"/>
  <c r="F157" i="28"/>
  <c r="F154" i="28"/>
  <c r="F146" i="28"/>
  <c r="F142" i="28"/>
  <c r="F138" i="28"/>
  <c r="F122" i="28"/>
  <c r="F110" i="28"/>
  <c r="F105" i="28"/>
  <c r="F102" i="28"/>
  <c r="F158" i="28"/>
  <c r="F153" i="28"/>
  <c r="F150" i="28"/>
  <c r="F141" i="28"/>
  <c r="F137" i="28"/>
  <c r="F121" i="28"/>
  <c r="F118" i="28"/>
  <c r="F109" i="28"/>
  <c r="F106" i="28"/>
  <c r="F162" i="28"/>
  <c r="F136" i="28"/>
  <c r="F135" i="28"/>
  <c r="F123" i="28"/>
  <c r="F115" i="28"/>
  <c r="F111" i="28"/>
  <c r="F101" i="28"/>
  <c r="F96" i="28"/>
  <c r="F89" i="28"/>
  <c r="F77" i="28"/>
  <c r="F69" i="28"/>
  <c r="F61" i="28"/>
  <c r="F56" i="28"/>
  <c r="F145" i="28"/>
  <c r="F128" i="28"/>
  <c r="F100" i="28"/>
  <c r="F88" i="28"/>
  <c r="F76" i="28"/>
  <c r="F68" i="28"/>
  <c r="F60" i="28"/>
  <c r="L12" i="28"/>
  <c r="N12" i="28" s="1"/>
  <c r="F161" i="28"/>
  <c r="F152" i="28"/>
  <c r="F149" i="28"/>
  <c r="F108" i="28"/>
  <c r="F99" i="28"/>
  <c r="F95" i="28"/>
  <c r="F84" i="28"/>
  <c r="F75" i="28"/>
  <c r="F67" i="28"/>
  <c r="F59" i="28"/>
  <c r="F151" i="28"/>
  <c r="F148" i="28"/>
  <c r="F147" i="28"/>
  <c r="F134" i="28"/>
  <c r="F133" i="28"/>
  <c r="F131" i="28"/>
  <c r="F127" i="28"/>
  <c r="F120" i="28"/>
  <c r="F117" i="28"/>
  <c r="F114" i="28"/>
  <c r="F113" i="28"/>
  <c r="F107" i="28"/>
  <c r="F98" i="28"/>
  <c r="F94" i="28"/>
  <c r="D84" i="28"/>
  <c r="F82" i="28"/>
  <c r="F74" i="28"/>
  <c r="F66" i="28"/>
  <c r="F58" i="28"/>
  <c r="F144" i="28"/>
  <c r="F132" i="28"/>
  <c r="F119" i="28"/>
  <c r="F97" i="28"/>
  <c r="F93" i="28"/>
  <c r="F81" i="28"/>
  <c r="F73" i="28"/>
  <c r="F65" i="28"/>
  <c r="F57" i="28"/>
  <c r="F166" i="28"/>
  <c r="F160" i="28"/>
  <c r="F143" i="28"/>
  <c r="F92" i="28"/>
  <c r="F87" i="28"/>
  <c r="F86" i="28"/>
  <c r="F80" i="28"/>
  <c r="F72" i="28"/>
  <c r="F64" i="28"/>
  <c r="F156" i="28"/>
  <c r="F139" i="28"/>
  <c r="F130" i="28"/>
  <c r="F129" i="28"/>
  <c r="F126" i="28"/>
  <c r="F125" i="28"/>
  <c r="F116" i="28"/>
  <c r="F112" i="28"/>
  <c r="F104" i="28"/>
  <c r="F91" i="28"/>
  <c r="F79" i="28"/>
  <c r="F71" i="28"/>
  <c r="F63" i="28"/>
  <c r="F140" i="28"/>
  <c r="F62" i="28"/>
  <c r="F155" i="28"/>
  <c r="F90" i="28"/>
  <c r="F103" i="28"/>
  <c r="F78" i="28"/>
  <c r="F70" i="28"/>
  <c r="F124" i="28"/>
  <c r="Z27" i="30"/>
  <c r="T31" i="30"/>
  <c r="X27" i="23"/>
  <c r="P31" i="23"/>
  <c r="F90" i="21"/>
  <c r="F87" i="21"/>
  <c r="F83" i="21"/>
  <c r="F69" i="21"/>
  <c r="F66" i="21"/>
  <c r="F61" i="21"/>
  <c r="F58" i="21"/>
  <c r="F38" i="21"/>
  <c r="F33" i="21"/>
  <c r="F32" i="21"/>
  <c r="F26" i="21"/>
  <c r="F88" i="21"/>
  <c r="F85" i="21"/>
  <c r="F72" i="21"/>
  <c r="F57" i="21"/>
  <c r="F52" i="21"/>
  <c r="F49" i="21"/>
  <c r="F37" i="21"/>
  <c r="F28" i="21"/>
  <c r="F27" i="21"/>
  <c r="F71" i="21"/>
  <c r="F70" i="21"/>
  <c r="F65" i="21"/>
  <c r="F59" i="21"/>
  <c r="F51" i="21"/>
  <c r="D30" i="21"/>
  <c r="F89" i="21"/>
  <c r="F64" i="21"/>
  <c r="F25" i="21"/>
  <c r="F93" i="21"/>
  <c r="F91" i="21"/>
  <c r="F81" i="21"/>
  <c r="F80" i="21"/>
  <c r="F63" i="21"/>
  <c r="F62" i="21"/>
  <c r="F56" i="21"/>
  <c r="F97" i="21"/>
  <c r="F82" i="21"/>
  <c r="F79" i="21"/>
  <c r="F77" i="21"/>
  <c r="F76" i="21"/>
  <c r="F68" i="21"/>
  <c r="F50" i="21"/>
  <c r="F48" i="21"/>
  <c r="F45" i="21"/>
  <c r="F44" i="21"/>
  <c r="F36" i="21"/>
  <c r="F86" i="21"/>
  <c r="F84" i="21"/>
  <c r="F78" i="21"/>
  <c r="F75" i="21"/>
  <c r="F55" i="21"/>
  <c r="F47" i="21"/>
  <c r="F46" i="21"/>
  <c r="F43" i="21"/>
  <c r="F41" i="21"/>
  <c r="F40" i="21"/>
  <c r="F35" i="21"/>
  <c r="F34" i="21"/>
  <c r="L12" i="21"/>
  <c r="N12" i="21" s="1"/>
  <c r="F74" i="21"/>
  <c r="F73" i="21"/>
  <c r="F60" i="21"/>
  <c r="F54" i="21"/>
  <c r="F53" i="21"/>
  <c r="F42" i="21"/>
  <c r="F39" i="21"/>
  <c r="F67" i="21"/>
  <c r="X12" i="28"/>
  <c r="Z12" i="28" s="1"/>
  <c r="X18" i="11"/>
  <c r="P27" i="11"/>
  <c r="X146" i="18"/>
  <c r="P246" i="18"/>
  <c r="X18" i="13"/>
  <c r="P27" i="13"/>
  <c r="X216" i="15"/>
  <c r="Z216" i="15" s="1"/>
  <c r="V203" i="15"/>
  <c r="V179" i="15"/>
  <c r="V171" i="15"/>
  <c r="V159" i="15"/>
  <c r="V147" i="15"/>
  <c r="V143" i="15"/>
  <c r="V131" i="15"/>
  <c r="V119" i="15"/>
  <c r="V224" i="15"/>
  <c r="V216" i="15"/>
  <c r="V206" i="15"/>
  <c r="V202" i="15"/>
  <c r="V174" i="15"/>
  <c r="V170" i="15"/>
  <c r="V219" i="15"/>
  <c r="V205" i="15"/>
  <c r="V201" i="15"/>
  <c r="V173" i="15"/>
  <c r="V161" i="15"/>
  <c r="V212" i="15"/>
  <c r="V208" i="15"/>
  <c r="V204" i="15"/>
  <c r="V200" i="15"/>
  <c r="V192" i="15"/>
  <c r="V176" i="15"/>
  <c r="V172" i="15"/>
  <c r="V164" i="15"/>
  <c r="V152" i="15"/>
  <c r="V148" i="15"/>
  <c r="V140" i="15"/>
  <c r="V136" i="15"/>
  <c r="V128" i="15"/>
  <c r="V217" i="15"/>
  <c r="V211" i="15"/>
  <c r="V207" i="15"/>
  <c r="V199" i="15"/>
  <c r="V195" i="15"/>
  <c r="V191" i="15"/>
  <c r="V187" i="15"/>
  <c r="V183" i="15"/>
  <c r="V175" i="15"/>
  <c r="V167" i="15"/>
  <c r="V163" i="15"/>
  <c r="V155" i="15"/>
  <c r="V151" i="15"/>
  <c r="V139" i="15"/>
  <c r="V135" i="15"/>
  <c r="V220" i="15"/>
  <c r="V214" i="15"/>
  <c r="V210" i="15"/>
  <c r="V198" i="15"/>
  <c r="V194" i="15"/>
  <c r="V213" i="15"/>
  <c r="V209" i="15"/>
  <c r="V197" i="15"/>
  <c r="V193" i="15"/>
  <c r="V189" i="15"/>
  <c r="V185" i="15"/>
  <c r="V181" i="15"/>
  <c r="V177" i="15"/>
  <c r="V169" i="15"/>
  <c r="V165" i="15"/>
  <c r="V157" i="15"/>
  <c r="V153" i="15"/>
  <c r="V145" i="15"/>
  <c r="V133" i="15"/>
  <c r="V121" i="15"/>
  <c r="V158" i="15"/>
  <c r="V141" i="15"/>
  <c r="V138" i="15"/>
  <c r="V112" i="15"/>
  <c r="V104" i="15"/>
  <c r="V96" i="15"/>
  <c r="V88" i="15"/>
  <c r="V196" i="15"/>
  <c r="V149" i="15"/>
  <c r="V130" i="15"/>
  <c r="T124" i="15"/>
  <c r="V122" i="15"/>
  <c r="V111" i="15"/>
  <c r="V103" i="15"/>
  <c r="V95" i="15"/>
  <c r="V87" i="15"/>
  <c r="V150" i="15"/>
  <c r="V142" i="15"/>
  <c r="V110" i="15"/>
  <c r="V102" i="15"/>
  <c r="V94" i="15"/>
  <c r="V86" i="15"/>
  <c r="V178" i="15"/>
  <c r="V160" i="15"/>
  <c r="V137" i="15"/>
  <c r="V132" i="15"/>
  <c r="V109" i="15"/>
  <c r="V101" i="15"/>
  <c r="V93" i="15"/>
  <c r="V85" i="15"/>
  <c r="V190" i="15"/>
  <c r="V166" i="15"/>
  <c r="V156" i="15"/>
  <c r="V134" i="15"/>
  <c r="V127" i="15"/>
  <c r="V116" i="15"/>
  <c r="V108" i="15"/>
  <c r="V100" i="15"/>
  <c r="V92" i="15"/>
  <c r="V84" i="15"/>
  <c r="Z12" i="15"/>
  <c r="V218" i="15"/>
  <c r="V186" i="15"/>
  <c r="V182" i="15"/>
  <c r="V168" i="15"/>
  <c r="V162" i="15"/>
  <c r="V154" i="15"/>
  <c r="V118" i="15"/>
  <c r="V117" i="15"/>
  <c r="V115" i="15"/>
  <c r="V107" i="15"/>
  <c r="V99" i="15"/>
  <c r="V91" i="15"/>
  <c r="V83" i="15"/>
  <c r="V188" i="15"/>
  <c r="V146" i="15"/>
  <c r="V144" i="15"/>
  <c r="V126" i="15"/>
  <c r="V114" i="15"/>
  <c r="V106" i="15"/>
  <c r="V98" i="15"/>
  <c r="V90" i="15"/>
  <c r="V82" i="15"/>
  <c r="V184" i="15"/>
  <c r="V180" i="15"/>
  <c r="V81" i="15"/>
  <c r="V120" i="15"/>
  <c r="V113" i="15"/>
  <c r="V97" i="15"/>
  <c r="V89" i="15"/>
  <c r="V129" i="15"/>
  <c r="V105" i="15"/>
  <c r="X27" i="10"/>
  <c r="P31" i="10"/>
  <c r="P264" i="3"/>
  <c r="X226" i="12"/>
  <c r="F222" i="12"/>
  <c r="F218" i="12"/>
  <c r="F210" i="12"/>
  <c r="F202" i="12"/>
  <c r="F197" i="12"/>
  <c r="F193" i="12"/>
  <c r="F182" i="12"/>
  <c r="F177" i="12"/>
  <c r="F174" i="12"/>
  <c r="F162" i="12"/>
  <c r="F153" i="12"/>
  <c r="F146" i="12"/>
  <c r="F142" i="12"/>
  <c r="F131" i="12"/>
  <c r="F122" i="12"/>
  <c r="F114" i="12"/>
  <c r="F106" i="12"/>
  <c r="F98" i="12"/>
  <c r="F90" i="12"/>
  <c r="F226" i="12"/>
  <c r="F221" i="12"/>
  <c r="F209" i="12"/>
  <c r="F205" i="12"/>
  <c r="F201" i="12"/>
  <c r="F188" i="12"/>
  <c r="F185" i="12"/>
  <c r="F173" i="12"/>
  <c r="F168" i="12"/>
  <c r="F165" i="12"/>
  <c r="F161" i="12"/>
  <c r="F141" i="12"/>
  <c r="D131" i="12"/>
  <c r="F129" i="12"/>
  <c r="F121" i="12"/>
  <c r="F113" i="12"/>
  <c r="F105" i="12"/>
  <c r="F97" i="12"/>
  <c r="F89" i="12"/>
  <c r="F229" i="12"/>
  <c r="F224" i="12"/>
  <c r="F220" i="12"/>
  <c r="F208" i="12"/>
  <c r="F204" i="12"/>
  <c r="F200" i="12"/>
  <c r="F196" i="12"/>
  <c r="F192" i="12"/>
  <c r="F179" i="12"/>
  <c r="F176" i="12"/>
  <c r="F164" i="12"/>
  <c r="F155" i="12"/>
  <c r="F152" i="12"/>
  <c r="F140" i="12"/>
  <c r="F128" i="12"/>
  <c r="F120" i="12"/>
  <c r="F112" i="12"/>
  <c r="F104" i="12"/>
  <c r="F96" i="12"/>
  <c r="F88" i="12"/>
  <c r="F214" i="12"/>
  <c r="F207" i="12"/>
  <c r="F199" i="12"/>
  <c r="F195" i="12"/>
  <c r="F191" i="12"/>
  <c r="F187" i="12"/>
  <c r="F170" i="12"/>
  <c r="F167" i="12"/>
  <c r="F158" i="12"/>
  <c r="F151" i="12"/>
  <c r="F139" i="12"/>
  <c r="F134" i="12"/>
  <c r="F133" i="12"/>
  <c r="F127" i="12"/>
  <c r="F119" i="12"/>
  <c r="F111" i="12"/>
  <c r="F103" i="12"/>
  <c r="F95" i="12"/>
  <c r="F87" i="12"/>
  <c r="F227" i="12"/>
  <c r="F217" i="12"/>
  <c r="F198" i="12"/>
  <c r="F194" i="12"/>
  <c r="F190" i="12"/>
  <c r="F181" i="12"/>
  <c r="F178" i="12"/>
  <c r="F154" i="12"/>
  <c r="F150" i="12"/>
  <c r="F145" i="12"/>
  <c r="F138" i="12"/>
  <c r="F126" i="12"/>
  <c r="F118" i="12"/>
  <c r="F110" i="12"/>
  <c r="F102" i="12"/>
  <c r="F94" i="12"/>
  <c r="F230" i="12"/>
  <c r="F213" i="12"/>
  <c r="F189" i="12"/>
  <c r="F184" i="12"/>
  <c r="F172" i="12"/>
  <c r="F169" i="12"/>
  <c r="F160" i="12"/>
  <c r="F157" i="12"/>
  <c r="F149" i="12"/>
  <c r="F137" i="12"/>
  <c r="F125" i="12"/>
  <c r="F117" i="12"/>
  <c r="F109" i="12"/>
  <c r="F101" i="12"/>
  <c r="F93" i="12"/>
  <c r="F234" i="12"/>
  <c r="F223" i="12"/>
  <c r="F219" i="12"/>
  <c r="F216" i="12"/>
  <c r="F212" i="12"/>
  <c r="F203" i="12"/>
  <c r="F180" i="12"/>
  <c r="F175" i="12"/>
  <c r="F163" i="12"/>
  <c r="F156" i="12"/>
  <c r="F148" i="12"/>
  <c r="F144" i="12"/>
  <c r="F136" i="12"/>
  <c r="F124" i="12"/>
  <c r="F116" i="12"/>
  <c r="F108" i="12"/>
  <c r="F100" i="12"/>
  <c r="F92" i="12"/>
  <c r="L12" i="12"/>
  <c r="N12" i="12" s="1"/>
  <c r="F186" i="12"/>
  <c r="F107" i="12"/>
  <c r="F215" i="12"/>
  <c r="F171" i="12"/>
  <c r="F143" i="12"/>
  <c r="F123" i="12"/>
  <c r="F115" i="12"/>
  <c r="F166" i="12"/>
  <c r="F91" i="12"/>
  <c r="F228" i="12"/>
  <c r="F211" i="12"/>
  <c r="F147" i="12"/>
  <c r="F99" i="12"/>
  <c r="F183" i="12"/>
  <c r="F135" i="12"/>
  <c r="F86" i="12"/>
  <c r="F206" i="12"/>
  <c r="F159" i="12"/>
  <c r="R223" i="12"/>
  <c r="R219" i="12"/>
  <c r="R203" i="12"/>
  <c r="R198" i="12"/>
  <c r="R194" i="12"/>
  <c r="R190" i="12"/>
  <c r="R178" i="12"/>
  <c r="R175" i="12"/>
  <c r="R163" i="12"/>
  <c r="R154" i="12"/>
  <c r="R150" i="12"/>
  <c r="R138" i="12"/>
  <c r="R126" i="12"/>
  <c r="R118" i="12"/>
  <c r="R110" i="12"/>
  <c r="R102" i="12"/>
  <c r="R94" i="12"/>
  <c r="R228" i="12"/>
  <c r="R213" i="12"/>
  <c r="R206" i="12"/>
  <c r="R189" i="12"/>
  <c r="R186" i="12"/>
  <c r="R169" i="12"/>
  <c r="R166" i="12"/>
  <c r="R157" i="12"/>
  <c r="R149" i="12"/>
  <c r="R137" i="12"/>
  <c r="R125" i="12"/>
  <c r="R117" i="12"/>
  <c r="R109" i="12"/>
  <c r="R101" i="12"/>
  <c r="R93" i="12"/>
  <c r="R86" i="12"/>
  <c r="R234" i="12"/>
  <c r="R216" i="12"/>
  <c r="R212" i="12"/>
  <c r="R197" i="12"/>
  <c r="R193" i="12"/>
  <c r="R180" i="12"/>
  <c r="R177" i="12"/>
  <c r="R156" i="12"/>
  <c r="R153" i="12"/>
  <c r="R148" i="12"/>
  <c r="R144" i="12"/>
  <c r="R136" i="12"/>
  <c r="R124" i="12"/>
  <c r="R116" i="12"/>
  <c r="R108" i="12"/>
  <c r="R100" i="12"/>
  <c r="R92" i="12"/>
  <c r="X12" i="12"/>
  <c r="Z12" i="12" s="1"/>
  <c r="R226" i="12"/>
  <c r="R215" i="12"/>
  <c r="R211" i="12"/>
  <c r="R188" i="12"/>
  <c r="R183" i="12"/>
  <c r="R171" i="12"/>
  <c r="R168" i="12"/>
  <c r="R159" i="12"/>
  <c r="R147" i="12"/>
  <c r="R143" i="12"/>
  <c r="R135" i="12"/>
  <c r="R133" i="12"/>
  <c r="P131" i="12"/>
  <c r="R131" i="12" s="1"/>
  <c r="R123" i="12"/>
  <c r="R115" i="12"/>
  <c r="R107" i="12"/>
  <c r="R99" i="12"/>
  <c r="R91" i="12"/>
  <c r="R229" i="12"/>
  <c r="R222" i="12"/>
  <c r="R218" i="12"/>
  <c r="R210" i="12"/>
  <c r="R202" i="12"/>
  <c r="R182" i="12"/>
  <c r="R179" i="12"/>
  <c r="R174" i="12"/>
  <c r="R162" i="12"/>
  <c r="R155" i="12"/>
  <c r="R146" i="12"/>
  <c r="R142" i="12"/>
  <c r="R122" i="12"/>
  <c r="R114" i="12"/>
  <c r="R106" i="12"/>
  <c r="R98" i="12"/>
  <c r="R90" i="12"/>
  <c r="R221" i="12"/>
  <c r="R214" i="12"/>
  <c r="R209" i="12"/>
  <c r="R205" i="12"/>
  <c r="R201" i="12"/>
  <c r="R185" i="12"/>
  <c r="R173" i="12"/>
  <c r="R170" i="12"/>
  <c r="R165" i="12"/>
  <c r="R161" i="12"/>
  <c r="R158" i="12"/>
  <c r="R141" i="12"/>
  <c r="R134" i="12"/>
  <c r="R129" i="12"/>
  <c r="R121" i="12"/>
  <c r="R113" i="12"/>
  <c r="R105" i="12"/>
  <c r="R97" i="12"/>
  <c r="R89" i="12"/>
  <c r="R227" i="12"/>
  <c r="R224" i="12"/>
  <c r="R220" i="12"/>
  <c r="R217" i="12"/>
  <c r="R208" i="12"/>
  <c r="R204" i="12"/>
  <c r="R200" i="12"/>
  <c r="R196" i="12"/>
  <c r="R192" i="12"/>
  <c r="R181" i="12"/>
  <c r="R176" i="12"/>
  <c r="R164" i="12"/>
  <c r="R152" i="12"/>
  <c r="R145" i="12"/>
  <c r="R140" i="12"/>
  <c r="R128" i="12"/>
  <c r="R120" i="12"/>
  <c r="R112" i="12"/>
  <c r="R104" i="12"/>
  <c r="R96" i="12"/>
  <c r="R88" i="12"/>
  <c r="R172" i="12"/>
  <c r="R167" i="12"/>
  <c r="R151" i="12"/>
  <c r="R103" i="12"/>
  <c r="R230" i="12"/>
  <c r="R191" i="12"/>
  <c r="R184" i="12"/>
  <c r="R139" i="12"/>
  <c r="R195" i="12"/>
  <c r="R127" i="12"/>
  <c r="R119" i="12"/>
  <c r="R111" i="12"/>
  <c r="R87" i="12"/>
  <c r="R160" i="12"/>
  <c r="R207" i="12"/>
  <c r="R199" i="12"/>
  <c r="R187" i="12"/>
  <c r="R95" i="12"/>
  <c r="D27" i="8"/>
  <c r="L18" i="8"/>
  <c r="L18" i="16"/>
  <c r="D31" i="10"/>
  <c r="L16" i="9"/>
  <c r="D90" i="9"/>
  <c r="T27" i="7"/>
  <c r="Z18" i="7"/>
  <c r="J219" i="15"/>
  <c r="J211" i="15"/>
  <c r="J199" i="15"/>
  <c r="J195" i="15"/>
  <c r="J191" i="15"/>
  <c r="J187" i="15"/>
  <c r="J183" i="15"/>
  <c r="J167" i="15"/>
  <c r="J161" i="15"/>
  <c r="J155" i="15"/>
  <c r="J139" i="15"/>
  <c r="J135" i="15"/>
  <c r="H124" i="15"/>
  <c r="J214" i="15"/>
  <c r="J210" i="15"/>
  <c r="J204" i="15"/>
  <c r="J198" i="15"/>
  <c r="J194" i="15"/>
  <c r="J190" i="15"/>
  <c r="J186" i="15"/>
  <c r="J182" i="15"/>
  <c r="J178" i="15"/>
  <c r="J172" i="15"/>
  <c r="J217" i="15"/>
  <c r="J207" i="15"/>
  <c r="J197" i="15"/>
  <c r="J189" i="15"/>
  <c r="J185" i="15"/>
  <c r="J181" i="15"/>
  <c r="J175" i="15"/>
  <c r="J169" i="15"/>
  <c r="J163" i="15"/>
  <c r="J157" i="15"/>
  <c r="J220" i="15"/>
  <c r="J180" i="15"/>
  <c r="J160" i="15"/>
  <c r="J144" i="15"/>
  <c r="J138" i="15"/>
  <c r="J132" i="15"/>
  <c r="J120" i="15"/>
  <c r="J213" i="15"/>
  <c r="J209" i="15"/>
  <c r="J203" i="15"/>
  <c r="J193" i="15"/>
  <c r="J177" i="15"/>
  <c r="J171" i="15"/>
  <c r="J165" i="15"/>
  <c r="J153" i="15"/>
  <c r="J147" i="15"/>
  <c r="J143" i="15"/>
  <c r="J224" i="15"/>
  <c r="J218" i="15"/>
  <c r="J206" i="15"/>
  <c r="J202" i="15"/>
  <c r="J196" i="15"/>
  <c r="J205" i="15"/>
  <c r="J201" i="15"/>
  <c r="J179" i="15"/>
  <c r="J173" i="15"/>
  <c r="J159" i="15"/>
  <c r="J149" i="15"/>
  <c r="J141" i="15"/>
  <c r="J137" i="15"/>
  <c r="J129" i="15"/>
  <c r="J117" i="15"/>
  <c r="J200" i="15"/>
  <c r="J168" i="15"/>
  <c r="J162" i="15"/>
  <c r="J154" i="15"/>
  <c r="J140" i="15"/>
  <c r="J127" i="15"/>
  <c r="J119" i="15"/>
  <c r="J116" i="15"/>
  <c r="J108" i="15"/>
  <c r="J100" i="15"/>
  <c r="J92" i="15"/>
  <c r="J84" i="15"/>
  <c r="N12" i="15"/>
  <c r="J212" i="15"/>
  <c r="J188" i="15"/>
  <c r="J176" i="15"/>
  <c r="J156" i="15"/>
  <c r="J128" i="15"/>
  <c r="J118" i="15"/>
  <c r="J115" i="15"/>
  <c r="J107" i="15"/>
  <c r="J99" i="15"/>
  <c r="J91" i="15"/>
  <c r="J83" i="15"/>
  <c r="J216" i="15"/>
  <c r="J184" i="15"/>
  <c r="J146" i="15"/>
  <c r="J145" i="15"/>
  <c r="J114" i="15"/>
  <c r="J106" i="15"/>
  <c r="J98" i="15"/>
  <c r="J90" i="15"/>
  <c r="J82" i="15"/>
  <c r="J192" i="15"/>
  <c r="J164" i="15"/>
  <c r="J158" i="15"/>
  <c r="J148" i="15"/>
  <c r="J136" i="15"/>
  <c r="J126" i="15"/>
  <c r="J121" i="15"/>
  <c r="J113" i="15"/>
  <c r="J105" i="15"/>
  <c r="J97" i="15"/>
  <c r="J89" i="15"/>
  <c r="J174" i="15"/>
  <c r="J170" i="15"/>
  <c r="J151" i="15"/>
  <c r="J131" i="15"/>
  <c r="J130" i="15"/>
  <c r="J124" i="15"/>
  <c r="J122" i="15"/>
  <c r="J112" i="15"/>
  <c r="J104" i="15"/>
  <c r="J96" i="15"/>
  <c r="J88" i="15"/>
  <c r="J142" i="15"/>
  <c r="J111" i="15"/>
  <c r="J103" i="15"/>
  <c r="J95" i="15"/>
  <c r="J87" i="15"/>
  <c r="J81" i="15"/>
  <c r="J208" i="15"/>
  <c r="J152" i="15"/>
  <c r="J150" i="15"/>
  <c r="J110" i="15"/>
  <c r="J102" i="15"/>
  <c r="J94" i="15"/>
  <c r="J86" i="15"/>
  <c r="J133" i="15"/>
  <c r="J134" i="15"/>
  <c r="J93" i="15"/>
  <c r="J85" i="15"/>
  <c r="J166" i="15"/>
  <c r="J109" i="15"/>
  <c r="J101" i="15"/>
  <c r="H31" i="35" l="1"/>
  <c r="N27" i="35"/>
  <c r="P68" i="48"/>
  <c r="X64" i="48"/>
  <c r="R64" i="48"/>
  <c r="P76" i="81"/>
  <c r="X72" i="81"/>
  <c r="Z27" i="41"/>
  <c r="T31" i="41"/>
  <c r="H31" i="6"/>
  <c r="N26" i="6"/>
  <c r="D36" i="52"/>
  <c r="X58" i="66"/>
  <c r="Z58" i="66" s="1"/>
  <c r="P116" i="66"/>
  <c r="D83" i="79"/>
  <c r="L20" i="79"/>
  <c r="N20" i="79" s="1"/>
  <c r="P50" i="60"/>
  <c r="X46" i="60"/>
  <c r="Z46" i="60" s="1"/>
  <c r="X30" i="21"/>
  <c r="P95" i="21"/>
  <c r="P31" i="13"/>
  <c r="X27" i="13"/>
  <c r="P36" i="23"/>
  <c r="X31" i="23"/>
  <c r="D103" i="62"/>
  <c r="L99" i="62"/>
  <c r="X48" i="77"/>
  <c r="Z48" i="77" s="1"/>
  <c r="P110" i="77"/>
  <c r="D91" i="85"/>
  <c r="F88" i="85"/>
  <c r="N27" i="8"/>
  <c r="H31" i="8"/>
  <c r="N27" i="20"/>
  <c r="H31" i="20"/>
  <c r="L27" i="20"/>
  <c r="L38" i="83"/>
  <c r="D42" i="83"/>
  <c r="D64" i="97"/>
  <c r="L17" i="97"/>
  <c r="N17" i="97" s="1"/>
  <c r="Z27" i="43"/>
  <c r="T31" i="43"/>
  <c r="H31" i="99"/>
  <c r="N27" i="99"/>
  <c r="Z31" i="37"/>
  <c r="T36" i="37"/>
  <c r="Z36" i="37" s="1"/>
  <c r="Z31" i="49"/>
  <c r="T36" i="49"/>
  <c r="Z36" i="49" s="1"/>
  <c r="P54" i="67"/>
  <c r="T29" i="75"/>
  <c r="T83" i="79"/>
  <c r="H80" i="76"/>
  <c r="P52" i="91"/>
  <c r="X48" i="91"/>
  <c r="Z48" i="91" s="1"/>
  <c r="X18" i="90"/>
  <c r="P47" i="90"/>
  <c r="N27" i="100"/>
  <c r="H31" i="100"/>
  <c r="D31" i="100"/>
  <c r="L27" i="100"/>
  <c r="L27" i="47"/>
  <c r="D31" i="47"/>
  <c r="D80" i="76"/>
  <c r="L76" i="76"/>
  <c r="N76" i="76" s="1"/>
  <c r="F76" i="76"/>
  <c r="L47" i="90"/>
  <c r="D51" i="90"/>
  <c r="F47" i="90"/>
  <c r="H36" i="4"/>
  <c r="N36" i="4" s="1"/>
  <c r="N31" i="4"/>
  <c r="Z27" i="16"/>
  <c r="T31" i="16"/>
  <c r="D31" i="24"/>
  <c r="L27" i="24"/>
  <c r="P60" i="59"/>
  <c r="X56" i="59"/>
  <c r="D116" i="66"/>
  <c r="L58" i="66"/>
  <c r="P75" i="86"/>
  <c r="D79" i="70"/>
  <c r="L30" i="70"/>
  <c r="P26" i="6"/>
  <c r="X22" i="6"/>
  <c r="P115" i="36"/>
  <c r="X111" i="36"/>
  <c r="Z111" i="36" s="1"/>
  <c r="R111" i="36"/>
  <c r="Z24" i="96"/>
  <c r="T28" i="96"/>
  <c r="X24" i="96"/>
  <c r="R30" i="21"/>
  <c r="N27" i="22"/>
  <c r="H31" i="22"/>
  <c r="H96" i="45"/>
  <c r="J92" i="45"/>
  <c r="T96" i="45"/>
  <c r="V92" i="45"/>
  <c r="H96" i="51"/>
  <c r="N50" i="51"/>
  <c r="P84" i="64"/>
  <c r="X39" i="64"/>
  <c r="X83" i="69"/>
  <c r="Z83" i="69" s="1"/>
  <c r="N27" i="7"/>
  <c r="H31" i="7"/>
  <c r="L50" i="51"/>
  <c r="D76" i="58"/>
  <c r="L73" i="58"/>
  <c r="P103" i="62"/>
  <c r="X99" i="62"/>
  <c r="T79" i="70"/>
  <c r="D80" i="73"/>
  <c r="F76" i="73"/>
  <c r="P94" i="9"/>
  <c r="X90" i="9"/>
  <c r="Z90" i="9" s="1"/>
  <c r="D82" i="31"/>
  <c r="L32" i="31"/>
  <c r="N32" i="31" s="1"/>
  <c r="F32" i="31"/>
  <c r="H79" i="70"/>
  <c r="N30" i="70"/>
  <c r="L81" i="95"/>
  <c r="D85" i="95"/>
  <c r="F81" i="95"/>
  <c r="D107" i="42"/>
  <c r="L103" i="42"/>
  <c r="N103" i="42" s="1"/>
  <c r="F103" i="42"/>
  <c r="D36" i="17"/>
  <c r="L31" i="17"/>
  <c r="H55" i="91"/>
  <c r="L52" i="91"/>
  <c r="N52" i="91" s="1"/>
  <c r="D115" i="39"/>
  <c r="L32" i="39"/>
  <c r="N27" i="38"/>
  <c r="H31" i="38"/>
  <c r="T83" i="76"/>
  <c r="L27" i="53"/>
  <c r="D31" i="53"/>
  <c r="L155" i="3"/>
  <c r="N155" i="3" s="1"/>
  <c r="D264" i="3"/>
  <c r="H36" i="19"/>
  <c r="N36" i="19" s="1"/>
  <c r="N31" i="19"/>
  <c r="L146" i="18"/>
  <c r="N146" i="18" s="1"/>
  <c r="D246" i="18"/>
  <c r="D116" i="25"/>
  <c r="L58" i="25"/>
  <c r="N58" i="25" s="1"/>
  <c r="Z27" i="29"/>
  <c r="T31" i="29"/>
  <c r="D36" i="49"/>
  <c r="L31" i="49"/>
  <c r="Z27" i="53"/>
  <c r="T31" i="53"/>
  <c r="D50" i="67"/>
  <c r="L21" i="67"/>
  <c r="H31" i="10"/>
  <c r="L31" i="10" s="1"/>
  <c r="N27" i="10"/>
  <c r="T232" i="12"/>
  <c r="P31" i="27"/>
  <c r="X27" i="27"/>
  <c r="L27" i="26"/>
  <c r="D31" i="26"/>
  <c r="L27" i="41"/>
  <c r="D31" i="41"/>
  <c r="H34" i="78"/>
  <c r="J30" i="78"/>
  <c r="D31" i="32"/>
  <c r="L27" i="32"/>
  <c r="N27" i="40"/>
  <c r="H31" i="40"/>
  <c r="L27" i="40"/>
  <c r="T120" i="66"/>
  <c r="V116" i="66"/>
  <c r="F20" i="79"/>
  <c r="N32" i="88"/>
  <c r="H36" i="88"/>
  <c r="T36" i="10"/>
  <c r="Z36" i="10" s="1"/>
  <c r="Z31" i="10"/>
  <c r="H116" i="25"/>
  <c r="H167" i="34"/>
  <c r="H53" i="61"/>
  <c r="T73" i="58"/>
  <c r="H96" i="71"/>
  <c r="T32" i="87"/>
  <c r="V29" i="87"/>
  <c r="L31" i="54"/>
  <c r="P31" i="8"/>
  <c r="X27" i="8"/>
  <c r="H250" i="18"/>
  <c r="J246" i="18"/>
  <c r="R39" i="64"/>
  <c r="T76" i="73"/>
  <c r="D83" i="92"/>
  <c r="F79" i="92"/>
  <c r="D100" i="51"/>
  <c r="L96" i="51"/>
  <c r="F96" i="51"/>
  <c r="X27" i="41"/>
  <c r="P31" i="41"/>
  <c r="N17" i="48"/>
  <c r="H64" i="48"/>
  <c r="N84" i="85"/>
  <c r="H88" i="85"/>
  <c r="D31" i="7"/>
  <c r="L27" i="7"/>
  <c r="P31" i="17"/>
  <c r="X27" i="17"/>
  <c r="H31" i="29"/>
  <c r="L31" i="29" s="1"/>
  <c r="N27" i="29"/>
  <c r="D36" i="30"/>
  <c r="H72" i="86"/>
  <c r="P103" i="42"/>
  <c r="X23" i="42"/>
  <c r="Z23" i="42" s="1"/>
  <c r="P50" i="61"/>
  <c r="X46" i="61"/>
  <c r="D232" i="12"/>
  <c r="L131" i="12"/>
  <c r="D164" i="28"/>
  <c r="L84" i="28"/>
  <c r="T68" i="48"/>
  <c r="Z64" i="48"/>
  <c r="V64" i="48"/>
  <c r="D31" i="8"/>
  <c r="L27" i="8"/>
  <c r="P250" i="18"/>
  <c r="R246" i="18"/>
  <c r="T36" i="30"/>
  <c r="Z36" i="30" s="1"/>
  <c r="Z31" i="30"/>
  <c r="H36" i="49"/>
  <c r="N36" i="49" s="1"/>
  <c r="N31" i="49"/>
  <c r="D36" i="43"/>
  <c r="H88" i="64"/>
  <c r="N84" i="64"/>
  <c r="H147" i="69"/>
  <c r="H114" i="77"/>
  <c r="J110" i="77"/>
  <c r="D36" i="88"/>
  <c r="L32" i="88"/>
  <c r="Z21" i="95"/>
  <c r="T81" i="95"/>
  <c r="P39" i="88"/>
  <c r="D37" i="82"/>
  <c r="L33" i="82"/>
  <c r="T91" i="85"/>
  <c r="V88" i="85"/>
  <c r="P26" i="54"/>
  <c r="X22" i="54"/>
  <c r="D36" i="5"/>
  <c r="L31" i="5"/>
  <c r="L27" i="13"/>
  <c r="D31" i="13"/>
  <c r="Z27" i="22"/>
  <c r="T31" i="22"/>
  <c r="X31" i="22" s="1"/>
  <c r="P70" i="56"/>
  <c r="X66" i="56"/>
  <c r="Z66" i="56" s="1"/>
  <c r="H103" i="62"/>
  <c r="N99" i="62"/>
  <c r="D29" i="75"/>
  <c r="L23" i="75"/>
  <c r="N23" i="75" s="1"/>
  <c r="T72" i="86"/>
  <c r="X72" i="86" s="1"/>
  <c r="Z68" i="86"/>
  <c r="H85" i="94"/>
  <c r="N21" i="94"/>
  <c r="P81" i="95"/>
  <c r="X21" i="95"/>
  <c r="Z27" i="99"/>
  <c r="T31" i="99"/>
  <c r="X31" i="99" s="1"/>
  <c r="T79" i="92"/>
  <c r="Z21" i="92"/>
  <c r="H37" i="84"/>
  <c r="L37" i="84" s="1"/>
  <c r="T116" i="25"/>
  <c r="X27" i="49"/>
  <c r="P31" i="49"/>
  <c r="P65" i="57"/>
  <c r="X61" i="57"/>
  <c r="Z61" i="57" s="1"/>
  <c r="L18" i="84"/>
  <c r="N18" i="84" s="1"/>
  <c r="T37" i="82"/>
  <c r="T89" i="94"/>
  <c r="V85" i="94"/>
  <c r="P168" i="28"/>
  <c r="R164" i="28"/>
  <c r="N27" i="26"/>
  <c r="H31" i="26"/>
  <c r="T31" i="38"/>
  <c r="X31" i="38" s="1"/>
  <c r="Z27" i="38"/>
  <c r="D96" i="71"/>
  <c r="L50" i="71"/>
  <c r="N50" i="71" s="1"/>
  <c r="F50" i="71"/>
  <c r="Z48" i="74"/>
  <c r="T51" i="74"/>
  <c r="H29" i="75"/>
  <c r="Z27" i="40"/>
  <c r="T31" i="40"/>
  <c r="P36" i="47"/>
  <c r="X36" i="47" s="1"/>
  <c r="X31" i="47"/>
  <c r="T96" i="71"/>
  <c r="D28" i="96"/>
  <c r="L24" i="96"/>
  <c r="P36" i="38"/>
  <c r="P31" i="14"/>
  <c r="X27" i="14"/>
  <c r="D36" i="29"/>
  <c r="N27" i="47"/>
  <c r="H31" i="47"/>
  <c r="P36" i="80"/>
  <c r="X32" i="80"/>
  <c r="Z32" i="80" s="1"/>
  <c r="H36" i="27"/>
  <c r="N36" i="27" s="1"/>
  <c r="N31" i="27"/>
  <c r="H87" i="79"/>
  <c r="X32" i="31"/>
  <c r="Z32" i="31" s="1"/>
  <c r="P82" i="31"/>
  <c r="X58" i="25"/>
  <c r="Z58" i="25" s="1"/>
  <c r="P116" i="25"/>
  <c r="H34" i="89"/>
  <c r="P31" i="35"/>
  <c r="X27" i="35"/>
  <c r="H36" i="17"/>
  <c r="N36" i="17" s="1"/>
  <c r="N31" i="17"/>
  <c r="P151" i="69"/>
  <c r="X147" i="69"/>
  <c r="R147" i="69"/>
  <c r="Z64" i="97"/>
  <c r="T68" i="97"/>
  <c r="V64" i="97"/>
  <c r="T31" i="7"/>
  <c r="Z27" i="7"/>
  <c r="T53" i="60"/>
  <c r="D63" i="65"/>
  <c r="F59" i="65"/>
  <c r="L26" i="6"/>
  <c r="P31" i="7"/>
  <c r="X27" i="7"/>
  <c r="Z146" i="18"/>
  <c r="T246" i="18"/>
  <c r="X246" i="18" s="1"/>
  <c r="P31" i="19"/>
  <c r="X27" i="19"/>
  <c r="D36" i="33"/>
  <c r="P37" i="55"/>
  <c r="H70" i="56"/>
  <c r="N66" i="56"/>
  <c r="T59" i="65"/>
  <c r="X59" i="65" s="1"/>
  <c r="Z22" i="65"/>
  <c r="H48" i="74"/>
  <c r="T96" i="51"/>
  <c r="Z50" i="51"/>
  <c r="T36" i="19"/>
  <c r="Z36" i="19" s="1"/>
  <c r="Z31" i="19"/>
  <c r="P36" i="30"/>
  <c r="X31" i="30"/>
  <c r="X27" i="52"/>
  <c r="P31" i="52"/>
  <c r="P42" i="63"/>
  <c r="X38" i="63"/>
  <c r="P42" i="83"/>
  <c r="X38" i="83"/>
  <c r="Z38" i="83" s="1"/>
  <c r="D85" i="94"/>
  <c r="L21" i="94"/>
  <c r="X64" i="97"/>
  <c r="P68" i="97"/>
  <c r="R64" i="97"/>
  <c r="X124" i="15"/>
  <c r="Z124" i="15" s="1"/>
  <c r="P222" i="15"/>
  <c r="H31" i="24"/>
  <c r="N27" i="24"/>
  <c r="D88" i="64"/>
  <c r="L84" i="64"/>
  <c r="F84" i="64"/>
  <c r="X26" i="93"/>
  <c r="P30" i="93"/>
  <c r="T86" i="31"/>
  <c r="V82" i="31"/>
  <c r="D36" i="37"/>
  <c r="Z27" i="44"/>
  <c r="T31" i="44"/>
  <c r="D73" i="56"/>
  <c r="L70" i="56"/>
  <c r="N21" i="67"/>
  <c r="H50" i="67"/>
  <c r="D41" i="84"/>
  <c r="P25" i="87"/>
  <c r="X17" i="87"/>
  <c r="Z17" i="87" s="1"/>
  <c r="H36" i="14"/>
  <c r="N36" i="14" s="1"/>
  <c r="N31" i="14"/>
  <c r="P31" i="33"/>
  <c r="X27" i="33"/>
  <c r="F32" i="39"/>
  <c r="D68" i="48"/>
  <c r="L64" i="48"/>
  <c r="F64" i="48"/>
  <c r="T42" i="63"/>
  <c r="Z38" i="63"/>
  <c r="T76" i="81"/>
  <c r="Z72" i="81"/>
  <c r="H28" i="96"/>
  <c r="N24" i="96"/>
  <c r="D37" i="55"/>
  <c r="L34" i="55"/>
  <c r="Z27" i="13"/>
  <c r="T31" i="13"/>
  <c r="P96" i="51"/>
  <c r="X50" i="51"/>
  <c r="D147" i="69"/>
  <c r="L83" i="69"/>
  <c r="N83" i="69" s="1"/>
  <c r="H30" i="93"/>
  <c r="N26" i="93"/>
  <c r="N23" i="73"/>
  <c r="H76" i="73"/>
  <c r="D30" i="78"/>
  <c r="L20" i="78"/>
  <c r="N20" i="78" s="1"/>
  <c r="P115" i="39"/>
  <c r="X32" i="39"/>
  <c r="Z32" i="39" s="1"/>
  <c r="N27" i="43"/>
  <c r="H31" i="43"/>
  <c r="L31" i="43" s="1"/>
  <c r="D36" i="14"/>
  <c r="L31" i="14"/>
  <c r="T264" i="3"/>
  <c r="V155" i="3"/>
  <c r="P92" i="45"/>
  <c r="X21" i="45"/>
  <c r="Z21" i="45" s="1"/>
  <c r="H79" i="81"/>
  <c r="H268" i="3"/>
  <c r="J264" i="3"/>
  <c r="X27" i="40"/>
  <c r="P31" i="40"/>
  <c r="P31" i="100"/>
  <c r="X27" i="100"/>
  <c r="X27" i="44"/>
  <c r="P31" i="44"/>
  <c r="T110" i="77"/>
  <c r="H95" i="21"/>
  <c r="D94" i="9"/>
  <c r="L90" i="9"/>
  <c r="N90" i="9" s="1"/>
  <c r="P232" i="12"/>
  <c r="X131" i="12"/>
  <c r="Z131" i="12" s="1"/>
  <c r="P268" i="3"/>
  <c r="X264" i="3"/>
  <c r="R264" i="3"/>
  <c r="D115" i="36"/>
  <c r="L111" i="36"/>
  <c r="N111" i="36" s="1"/>
  <c r="F111" i="36"/>
  <c r="T107" i="42"/>
  <c r="V103" i="42"/>
  <c r="P76" i="73"/>
  <c r="X23" i="73"/>
  <c r="Z23" i="73" s="1"/>
  <c r="R48" i="77"/>
  <c r="D32" i="87"/>
  <c r="L29" i="87"/>
  <c r="X21" i="92"/>
  <c r="P79" i="92"/>
  <c r="L31" i="6"/>
  <c r="D31" i="4"/>
  <c r="L27" i="4"/>
  <c r="V146" i="18"/>
  <c r="R58" i="25"/>
  <c r="D53" i="60"/>
  <c r="L50" i="60"/>
  <c r="L30" i="89"/>
  <c r="N30" i="89" s="1"/>
  <c r="D34" i="89"/>
  <c r="P36" i="99"/>
  <c r="Z46" i="61"/>
  <c r="T50" i="61"/>
  <c r="T94" i="9"/>
  <c r="P36" i="22"/>
  <c r="T167" i="34"/>
  <c r="Z86" i="34"/>
  <c r="V86" i="34"/>
  <c r="H82" i="31"/>
  <c r="J32" i="31"/>
  <c r="P36" i="37"/>
  <c r="X31" i="37"/>
  <c r="H79" i="92"/>
  <c r="L79" i="92" s="1"/>
  <c r="N21" i="92"/>
  <c r="T36" i="88"/>
  <c r="Z32" i="88"/>
  <c r="L27" i="98"/>
  <c r="D31" i="98"/>
  <c r="D110" i="77"/>
  <c r="L48" i="77"/>
  <c r="N48" i="77" s="1"/>
  <c r="Z27" i="26"/>
  <c r="T31" i="26"/>
  <c r="X31" i="26" s="1"/>
  <c r="H31" i="50"/>
  <c r="L31" i="50" s="1"/>
  <c r="N27" i="50"/>
  <c r="L66" i="56"/>
  <c r="X18" i="84"/>
  <c r="Z18" i="84" s="1"/>
  <c r="P37" i="84"/>
  <c r="L27" i="44"/>
  <c r="D31" i="44"/>
  <c r="T37" i="78"/>
  <c r="V34" i="78"/>
  <c r="Z27" i="24"/>
  <c r="T31" i="24"/>
  <c r="D60" i="59"/>
  <c r="L56" i="59"/>
  <c r="N56" i="59" s="1"/>
  <c r="H32" i="87"/>
  <c r="N29" i="87"/>
  <c r="J29" i="87"/>
  <c r="H34" i="55"/>
  <c r="N30" i="55"/>
  <c r="Z27" i="20"/>
  <c r="T31" i="20"/>
  <c r="N27" i="46"/>
  <c r="H31" i="46"/>
  <c r="L27" i="50"/>
  <c r="N50" i="60"/>
  <c r="H53" i="60"/>
  <c r="Z27" i="98"/>
  <c r="T31" i="98"/>
  <c r="X27" i="98"/>
  <c r="D31" i="46"/>
  <c r="L27" i="46"/>
  <c r="T41" i="84"/>
  <c r="V37" i="84"/>
  <c r="H31" i="23"/>
  <c r="L31" i="23" s="1"/>
  <c r="N27" i="23"/>
  <c r="L27" i="27"/>
  <c r="D31" i="27"/>
  <c r="D167" i="34"/>
  <c r="L86" i="34"/>
  <c r="N86" i="34" s="1"/>
  <c r="H36" i="41"/>
  <c r="N36" i="41" s="1"/>
  <c r="N31" i="41"/>
  <c r="N27" i="52"/>
  <c r="H31" i="52"/>
  <c r="Z27" i="52"/>
  <c r="T31" i="52"/>
  <c r="P87" i="79"/>
  <c r="X83" i="79"/>
  <c r="R83" i="79"/>
  <c r="X20" i="76"/>
  <c r="Z20" i="76" s="1"/>
  <c r="P76" i="76"/>
  <c r="T37" i="89"/>
  <c r="H115" i="36"/>
  <c r="J111" i="36"/>
  <c r="T31" i="46"/>
  <c r="Z27" i="46"/>
  <c r="T50" i="67"/>
  <c r="Z21" i="67"/>
  <c r="N27" i="33"/>
  <c r="H31" i="33"/>
  <c r="N27" i="13"/>
  <c r="H31" i="13"/>
  <c r="H222" i="15"/>
  <c r="N124" i="15"/>
  <c r="X155" i="3"/>
  <c r="Z155" i="3" s="1"/>
  <c r="T222" i="15"/>
  <c r="V124" i="15"/>
  <c r="X27" i="11"/>
  <c r="P31" i="11"/>
  <c r="D95" i="21"/>
  <c r="L30" i="21"/>
  <c r="N30" i="21" s="1"/>
  <c r="F30" i="21"/>
  <c r="T34" i="55"/>
  <c r="X34" i="55" s="1"/>
  <c r="Z30" i="55"/>
  <c r="P63" i="65"/>
  <c r="R59" i="65"/>
  <c r="N38" i="83"/>
  <c r="H42" i="83"/>
  <c r="D222" i="15"/>
  <c r="L124" i="15"/>
  <c r="P36" i="46"/>
  <c r="V50" i="51"/>
  <c r="T31" i="4"/>
  <c r="Z27" i="4"/>
  <c r="L27" i="22"/>
  <c r="D31" i="22"/>
  <c r="N27" i="16"/>
  <c r="H31" i="16"/>
  <c r="L27" i="16"/>
  <c r="T164" i="28"/>
  <c r="Z84" i="28"/>
  <c r="H31" i="30"/>
  <c r="L31" i="30" s="1"/>
  <c r="N27" i="30"/>
  <c r="N69" i="58"/>
  <c r="H73" i="58"/>
  <c r="H71" i="97"/>
  <c r="J68" i="97"/>
  <c r="P31" i="16"/>
  <c r="X27" i="16"/>
  <c r="P171" i="34"/>
  <c r="X167" i="34"/>
  <c r="R167" i="34"/>
  <c r="D31" i="38"/>
  <c r="L27" i="38"/>
  <c r="T31" i="35"/>
  <c r="Z27" i="35"/>
  <c r="X27" i="43"/>
  <c r="P31" i="43"/>
  <c r="T60" i="59"/>
  <c r="Z56" i="59"/>
  <c r="R58" i="66"/>
  <c r="H31" i="11"/>
  <c r="N27" i="11"/>
  <c r="D31" i="11"/>
  <c r="L27" i="11"/>
  <c r="D31" i="35"/>
  <c r="L27" i="35"/>
  <c r="L72" i="81"/>
  <c r="N72" i="81" s="1"/>
  <c r="D76" i="81"/>
  <c r="X20" i="85"/>
  <c r="Z20" i="85" s="1"/>
  <c r="P84" i="85"/>
  <c r="T31" i="100"/>
  <c r="Z27" i="100"/>
  <c r="X27" i="29"/>
  <c r="P31" i="29"/>
  <c r="D36" i="50"/>
  <c r="N22" i="65"/>
  <c r="H59" i="65"/>
  <c r="T147" i="69"/>
  <c r="H51" i="90"/>
  <c r="N47" i="90"/>
  <c r="N81" i="95"/>
  <c r="H85" i="95"/>
  <c r="P73" i="58"/>
  <c r="X69" i="58"/>
  <c r="Z69" i="58" s="1"/>
  <c r="P31" i="4"/>
  <c r="X27" i="4"/>
  <c r="D96" i="45"/>
  <c r="L92" i="45"/>
  <c r="N92" i="45" s="1"/>
  <c r="F92" i="45"/>
  <c r="X20" i="79"/>
  <c r="Z20" i="79" s="1"/>
  <c r="T39" i="80"/>
  <c r="D36" i="23"/>
  <c r="H116" i="66"/>
  <c r="N58" i="66"/>
  <c r="T30" i="93"/>
  <c r="Z26" i="93"/>
  <c r="X27" i="50"/>
  <c r="P31" i="50"/>
  <c r="H31" i="54"/>
  <c r="N26" i="54"/>
  <c r="P37" i="89"/>
  <c r="X34" i="89"/>
  <c r="Z34" i="89" s="1"/>
  <c r="P79" i="70"/>
  <c r="X30" i="70"/>
  <c r="Z30" i="70" s="1"/>
  <c r="T119" i="39"/>
  <c r="V115" i="39"/>
  <c r="D36" i="10"/>
  <c r="P36" i="10"/>
  <c r="X31" i="10"/>
  <c r="P36" i="26"/>
  <c r="T115" i="36"/>
  <c r="V111" i="36"/>
  <c r="J30" i="70"/>
  <c r="D39" i="80"/>
  <c r="L39" i="80" s="1"/>
  <c r="N39" i="80" s="1"/>
  <c r="L36" i="80"/>
  <c r="N36" i="80" s="1"/>
  <c r="F155" i="3"/>
  <c r="T31" i="8"/>
  <c r="Z27" i="8"/>
  <c r="T36" i="23"/>
  <c r="Z36" i="23" s="1"/>
  <c r="Z31" i="23"/>
  <c r="P36" i="32"/>
  <c r="X36" i="32" s="1"/>
  <c r="X31" i="32"/>
  <c r="P34" i="78"/>
  <c r="X30" i="78"/>
  <c r="Z30" i="78" s="1"/>
  <c r="R30" i="78"/>
  <c r="T51" i="90"/>
  <c r="D31" i="99"/>
  <c r="L27" i="99"/>
  <c r="T103" i="62"/>
  <c r="Z99" i="62"/>
  <c r="P31" i="5"/>
  <c r="X27" i="5"/>
  <c r="H232" i="12"/>
  <c r="N131" i="12"/>
  <c r="T95" i="21"/>
  <c r="Z30" i="21"/>
  <c r="T84" i="64"/>
  <c r="Z39" i="64"/>
  <c r="H60" i="59"/>
  <c r="L44" i="74"/>
  <c r="N44" i="74" s="1"/>
  <c r="D48" i="74"/>
  <c r="D72" i="86"/>
  <c r="L68" i="86"/>
  <c r="N68" i="86" s="1"/>
  <c r="X27" i="24"/>
  <c r="P31" i="24"/>
  <c r="L27" i="30"/>
  <c r="X86" i="34"/>
  <c r="X48" i="74"/>
  <c r="P51" i="74"/>
  <c r="P37" i="82"/>
  <c r="X33" i="82"/>
  <c r="Z33" i="82" s="1"/>
  <c r="H31" i="37"/>
  <c r="L31" i="37" s="1"/>
  <c r="N27" i="37"/>
  <c r="R23" i="42"/>
  <c r="H68" i="57"/>
  <c r="H36" i="5"/>
  <c r="N36" i="5" s="1"/>
  <c r="N31" i="5"/>
  <c r="Z27" i="11"/>
  <c r="T31" i="11"/>
  <c r="D31" i="19"/>
  <c r="L27" i="19"/>
  <c r="H115" i="39"/>
  <c r="N32" i="39"/>
  <c r="P36" i="53"/>
  <c r="X31" i="53"/>
  <c r="D68" i="57"/>
  <c r="L68" i="57" s="1"/>
  <c r="L65" i="57"/>
  <c r="N65" i="57" s="1"/>
  <c r="F83" i="69"/>
  <c r="P96" i="71"/>
  <c r="X50" i="71"/>
  <c r="Z50" i="71" s="1"/>
  <c r="N33" i="82"/>
  <c r="H37" i="82"/>
  <c r="P85" i="94"/>
  <c r="X21" i="94"/>
  <c r="Z21" i="94" s="1"/>
  <c r="N27" i="98"/>
  <c r="H31" i="98"/>
  <c r="H164" i="28"/>
  <c r="N84" i="28"/>
  <c r="H36" i="32"/>
  <c r="N36" i="32" s="1"/>
  <c r="N31" i="32"/>
  <c r="H42" i="63"/>
  <c r="N38" i="63"/>
  <c r="L38" i="63"/>
  <c r="D50" i="61"/>
  <c r="L46" i="61"/>
  <c r="N46" i="61" s="1"/>
  <c r="X23" i="75"/>
  <c r="Z23" i="75" s="1"/>
  <c r="P29" i="75"/>
  <c r="V48" i="77"/>
  <c r="L26" i="93"/>
  <c r="D30" i="93"/>
  <c r="L27" i="23"/>
  <c r="P31" i="20"/>
  <c r="X27" i="20"/>
  <c r="H110" i="42"/>
  <c r="J107" i="42"/>
  <c r="X36" i="37" l="1"/>
  <c r="X36" i="10"/>
  <c r="L36" i="14"/>
  <c r="H36" i="35"/>
  <c r="N36" i="35" s="1"/>
  <c r="N31" i="35"/>
  <c r="P76" i="58"/>
  <c r="X73" i="58"/>
  <c r="P100" i="71"/>
  <c r="X96" i="71"/>
  <c r="R96" i="71"/>
  <c r="P36" i="16"/>
  <c r="X31" i="16"/>
  <c r="L95" i="21"/>
  <c r="D99" i="21"/>
  <c r="F95" i="21"/>
  <c r="P80" i="73"/>
  <c r="X76" i="73"/>
  <c r="R76" i="73"/>
  <c r="D53" i="61"/>
  <c r="L53" i="61" s="1"/>
  <c r="N53" i="61" s="1"/>
  <c r="L50" i="61"/>
  <c r="N50" i="61" s="1"/>
  <c r="P40" i="82"/>
  <c r="X37" i="82"/>
  <c r="D36" i="99"/>
  <c r="L31" i="99"/>
  <c r="P36" i="11"/>
  <c r="X31" i="11"/>
  <c r="N95" i="21"/>
  <c r="H99" i="21"/>
  <c r="J95" i="21"/>
  <c r="P119" i="39"/>
  <c r="X115" i="39"/>
  <c r="Z115" i="39" s="1"/>
  <c r="R115" i="39"/>
  <c r="D71" i="48"/>
  <c r="L68" i="48"/>
  <c r="F68" i="48"/>
  <c r="P36" i="52"/>
  <c r="X31" i="52"/>
  <c r="D100" i="71"/>
  <c r="L96" i="71"/>
  <c r="F96" i="71"/>
  <c r="Z31" i="99"/>
  <c r="T36" i="99"/>
  <c r="Z36" i="99" s="1"/>
  <c r="T36" i="22"/>
  <c r="Z36" i="22" s="1"/>
  <c r="Z31" i="22"/>
  <c r="D120" i="25"/>
  <c r="L116" i="25"/>
  <c r="F116" i="25"/>
  <c r="N55" i="91"/>
  <c r="L55" i="91"/>
  <c r="P97" i="9"/>
  <c r="X97" i="9" s="1"/>
  <c r="X94" i="9"/>
  <c r="Z94" i="9" s="1"/>
  <c r="N31" i="22"/>
  <c r="H36" i="22"/>
  <c r="N36" i="22" s="1"/>
  <c r="L116" i="66"/>
  <c r="D120" i="66"/>
  <c r="F116" i="66"/>
  <c r="P57" i="67"/>
  <c r="H36" i="8"/>
  <c r="N36" i="8" s="1"/>
  <c r="N31" i="8"/>
  <c r="N31" i="6"/>
  <c r="Z31" i="11"/>
  <c r="T36" i="11"/>
  <c r="Z36" i="11" s="1"/>
  <c r="X51" i="74"/>
  <c r="L48" i="74"/>
  <c r="D51" i="74"/>
  <c r="L51" i="74" s="1"/>
  <c r="T54" i="90"/>
  <c r="D99" i="45"/>
  <c r="L96" i="45"/>
  <c r="F96" i="45"/>
  <c r="N51" i="90"/>
  <c r="H54" i="90"/>
  <c r="H36" i="11"/>
  <c r="N36" i="11" s="1"/>
  <c r="N31" i="11"/>
  <c r="J71" i="97"/>
  <c r="P66" i="65"/>
  <c r="R63" i="65"/>
  <c r="T44" i="84"/>
  <c r="V41" i="84"/>
  <c r="H37" i="55"/>
  <c r="N34" i="55"/>
  <c r="Z31" i="24"/>
  <c r="T36" i="24"/>
  <c r="Z36" i="24" s="1"/>
  <c r="D36" i="98"/>
  <c r="L31" i="98"/>
  <c r="P83" i="92"/>
  <c r="X79" i="92"/>
  <c r="R79" i="92"/>
  <c r="T114" i="77"/>
  <c r="V110" i="77"/>
  <c r="P36" i="7"/>
  <c r="X31" i="7"/>
  <c r="T36" i="7"/>
  <c r="Z36" i="7" s="1"/>
  <c r="Z31" i="7"/>
  <c r="P86" i="31"/>
  <c r="X82" i="31"/>
  <c r="Z82" i="31" s="1"/>
  <c r="R82" i="31"/>
  <c r="D33" i="75"/>
  <c r="L29" i="75"/>
  <c r="N29" i="75" s="1"/>
  <c r="F29" i="75"/>
  <c r="H91" i="64"/>
  <c r="L164" i="28"/>
  <c r="D168" i="28"/>
  <c r="F164" i="28"/>
  <c r="N72" i="86"/>
  <c r="H75" i="86"/>
  <c r="D36" i="7"/>
  <c r="L31" i="7"/>
  <c r="V32" i="87"/>
  <c r="D36" i="32"/>
  <c r="L36" i="32" s="1"/>
  <c r="L31" i="32"/>
  <c r="T36" i="53"/>
  <c r="Z36" i="53" s="1"/>
  <c r="Z31" i="53"/>
  <c r="D250" i="18"/>
  <c r="L246" i="18"/>
  <c r="N246" i="18" s="1"/>
  <c r="F246" i="18"/>
  <c r="H100" i="51"/>
  <c r="N96" i="51"/>
  <c r="J96" i="51"/>
  <c r="H83" i="76"/>
  <c r="T36" i="41"/>
  <c r="Z36" i="41" s="1"/>
  <c r="Z31" i="41"/>
  <c r="P33" i="75"/>
  <c r="X29" i="75"/>
  <c r="R29" i="75"/>
  <c r="J110" i="42"/>
  <c r="H168" i="28"/>
  <c r="N164" i="28"/>
  <c r="J164" i="28"/>
  <c r="D37" i="89"/>
  <c r="L37" i="89" s="1"/>
  <c r="L34" i="89"/>
  <c r="X31" i="20"/>
  <c r="P36" i="20"/>
  <c r="D36" i="19"/>
  <c r="L36" i="19" s="1"/>
  <c r="L31" i="19"/>
  <c r="D75" i="86"/>
  <c r="L72" i="86"/>
  <c r="H120" i="66"/>
  <c r="N116" i="66"/>
  <c r="J116" i="66"/>
  <c r="T168" i="28"/>
  <c r="V164" i="28"/>
  <c r="Z31" i="46"/>
  <c r="T36" i="46"/>
  <c r="Z36" i="46" s="1"/>
  <c r="P41" i="84"/>
  <c r="X37" i="84"/>
  <c r="Z37" i="84" s="1"/>
  <c r="H31" i="96"/>
  <c r="P29" i="87"/>
  <c r="X25" i="87"/>
  <c r="Z25" i="87" s="1"/>
  <c r="P71" i="97"/>
  <c r="X68" i="97"/>
  <c r="Z68" i="97" s="1"/>
  <c r="R68" i="97"/>
  <c r="H51" i="74"/>
  <c r="N48" i="74"/>
  <c r="P39" i="80"/>
  <c r="X39" i="80" s="1"/>
  <c r="X36" i="80"/>
  <c r="Z36" i="80" s="1"/>
  <c r="T36" i="40"/>
  <c r="Z36" i="40" s="1"/>
  <c r="Z31" i="40"/>
  <c r="P36" i="49"/>
  <c r="X36" i="49" s="1"/>
  <c r="X31" i="49"/>
  <c r="L50" i="67"/>
  <c r="D54" i="67"/>
  <c r="L85" i="95"/>
  <c r="D88" i="95"/>
  <c r="F85" i="95"/>
  <c r="P118" i="36"/>
  <c r="X115" i="36"/>
  <c r="R115" i="36"/>
  <c r="P55" i="91"/>
  <c r="X55" i="91" s="1"/>
  <c r="Z55" i="91" s="1"/>
  <c r="X52" i="91"/>
  <c r="Z52" i="91" s="1"/>
  <c r="D106" i="62"/>
  <c r="L106" i="62" s="1"/>
  <c r="L103" i="62"/>
  <c r="P53" i="60"/>
  <c r="X53" i="60" s="1"/>
  <c r="Z53" i="60" s="1"/>
  <c r="X50" i="60"/>
  <c r="Z50" i="60" s="1"/>
  <c r="D33" i="93"/>
  <c r="L30" i="93"/>
  <c r="N68" i="57"/>
  <c r="H236" i="12"/>
  <c r="N232" i="12"/>
  <c r="J232" i="12"/>
  <c r="T118" i="36"/>
  <c r="Z115" i="36"/>
  <c r="V115" i="36"/>
  <c r="N31" i="54"/>
  <c r="D36" i="38"/>
  <c r="L31" i="38"/>
  <c r="H36" i="16"/>
  <c r="N31" i="16"/>
  <c r="L31" i="16"/>
  <c r="X31" i="46"/>
  <c r="H36" i="33"/>
  <c r="N36" i="33" s="1"/>
  <c r="N31" i="33"/>
  <c r="P90" i="79"/>
  <c r="R87" i="79"/>
  <c r="D171" i="34"/>
  <c r="L167" i="34"/>
  <c r="N167" i="34" s="1"/>
  <c r="F167" i="34"/>
  <c r="T97" i="9"/>
  <c r="L53" i="60"/>
  <c r="P273" i="3"/>
  <c r="R268" i="3"/>
  <c r="Z264" i="3"/>
  <c r="T268" i="3"/>
  <c r="X268" i="3" s="1"/>
  <c r="V264" i="3"/>
  <c r="L30" i="78"/>
  <c r="N30" i="78" s="1"/>
  <c r="D34" i="78"/>
  <c r="P100" i="51"/>
  <c r="X96" i="51"/>
  <c r="R96" i="51"/>
  <c r="T79" i="81"/>
  <c r="D44" i="84"/>
  <c r="D91" i="64"/>
  <c r="L88" i="64"/>
  <c r="N88" i="64" s="1"/>
  <c r="F88" i="64"/>
  <c r="L31" i="33"/>
  <c r="H36" i="47"/>
  <c r="N36" i="47" s="1"/>
  <c r="N31" i="47"/>
  <c r="T36" i="38"/>
  <c r="Z36" i="38" s="1"/>
  <c r="Z31" i="38"/>
  <c r="T92" i="94"/>
  <c r="V89" i="94"/>
  <c r="D36" i="13"/>
  <c r="L31" i="13"/>
  <c r="V91" i="85"/>
  <c r="D39" i="88"/>
  <c r="L36" i="88"/>
  <c r="P253" i="18"/>
  <c r="X250" i="18"/>
  <c r="R250" i="18"/>
  <c r="H91" i="85"/>
  <c r="D103" i="51"/>
  <c r="L100" i="51"/>
  <c r="F100" i="51"/>
  <c r="H171" i="34"/>
  <c r="J167" i="34"/>
  <c r="P36" i="27"/>
  <c r="X36" i="27" s="1"/>
  <c r="X31" i="27"/>
  <c r="D83" i="73"/>
  <c r="F80" i="73"/>
  <c r="P31" i="6"/>
  <c r="X31" i="6" s="1"/>
  <c r="Z31" i="6" s="1"/>
  <c r="X26" i="6"/>
  <c r="P63" i="59"/>
  <c r="X60" i="59"/>
  <c r="L51" i="90"/>
  <c r="D54" i="90"/>
  <c r="F51" i="90"/>
  <c r="D36" i="100"/>
  <c r="L31" i="100"/>
  <c r="D68" i="97"/>
  <c r="L64" i="97"/>
  <c r="N64" i="97" s="1"/>
  <c r="F64" i="97"/>
  <c r="X36" i="23"/>
  <c r="L83" i="79"/>
  <c r="N83" i="79" s="1"/>
  <c r="D87" i="79"/>
  <c r="F83" i="79"/>
  <c r="N37" i="82"/>
  <c r="H40" i="82"/>
  <c r="P36" i="24"/>
  <c r="X31" i="24"/>
  <c r="Z39" i="80"/>
  <c r="H36" i="37"/>
  <c r="N36" i="37" s="1"/>
  <c r="N31" i="37"/>
  <c r="H88" i="95"/>
  <c r="N85" i="95"/>
  <c r="D36" i="11"/>
  <c r="L31" i="11"/>
  <c r="H226" i="15"/>
  <c r="J222" i="15"/>
  <c r="N31" i="98"/>
  <c r="H36" i="98"/>
  <c r="N36" i="98" s="1"/>
  <c r="T99" i="21"/>
  <c r="V95" i="21"/>
  <c r="X37" i="89"/>
  <c r="P36" i="29"/>
  <c r="X31" i="29"/>
  <c r="Z31" i="35"/>
  <c r="T36" i="35"/>
  <c r="Z36" i="35" s="1"/>
  <c r="T36" i="4"/>
  <c r="Z36" i="4" s="1"/>
  <c r="Z31" i="4"/>
  <c r="H36" i="13"/>
  <c r="N36" i="13" s="1"/>
  <c r="N31" i="13"/>
  <c r="N53" i="60"/>
  <c r="D63" i="59"/>
  <c r="L63" i="59" s="1"/>
  <c r="L60" i="59"/>
  <c r="L110" i="77"/>
  <c r="N110" i="77" s="1"/>
  <c r="D114" i="77"/>
  <c r="F110" i="77"/>
  <c r="D151" i="69"/>
  <c r="L147" i="69"/>
  <c r="F147" i="69"/>
  <c r="H45" i="63"/>
  <c r="N42" i="63"/>
  <c r="L42" i="63"/>
  <c r="P89" i="94"/>
  <c r="X85" i="94"/>
  <c r="Z85" i="94" s="1"/>
  <c r="R85" i="94"/>
  <c r="Z31" i="8"/>
  <c r="T36" i="8"/>
  <c r="Z36" i="8" s="1"/>
  <c r="P36" i="50"/>
  <c r="X36" i="50" s="1"/>
  <c r="X31" i="50"/>
  <c r="P36" i="4"/>
  <c r="X31" i="4"/>
  <c r="T151" i="69"/>
  <c r="Z147" i="69"/>
  <c r="V147" i="69"/>
  <c r="Z31" i="100"/>
  <c r="T36" i="100"/>
  <c r="Z36" i="100" s="1"/>
  <c r="H76" i="58"/>
  <c r="L76" i="58" s="1"/>
  <c r="N73" i="58"/>
  <c r="H118" i="36"/>
  <c r="N115" i="36"/>
  <c r="J115" i="36"/>
  <c r="T36" i="52"/>
  <c r="Z36" i="52" s="1"/>
  <c r="Z31" i="52"/>
  <c r="D36" i="27"/>
  <c r="L36" i="27" s="1"/>
  <c r="L31" i="27"/>
  <c r="D36" i="46"/>
  <c r="L31" i="46"/>
  <c r="H36" i="46"/>
  <c r="N36" i="46" s="1"/>
  <c r="N31" i="46"/>
  <c r="H86" i="31"/>
  <c r="J82" i="31"/>
  <c r="T53" i="61"/>
  <c r="Z50" i="61"/>
  <c r="T110" i="42"/>
  <c r="V107" i="42"/>
  <c r="P36" i="44"/>
  <c r="X31" i="44"/>
  <c r="H273" i="3"/>
  <c r="J268" i="3"/>
  <c r="H80" i="73"/>
  <c r="L80" i="73" s="1"/>
  <c r="T36" i="13"/>
  <c r="Z36" i="13" s="1"/>
  <c r="Z31" i="13"/>
  <c r="P36" i="33"/>
  <c r="X36" i="33" s="1"/>
  <c r="X31" i="33"/>
  <c r="H54" i="67"/>
  <c r="N50" i="67"/>
  <c r="L85" i="94"/>
  <c r="D89" i="94"/>
  <c r="F85" i="94"/>
  <c r="X36" i="30"/>
  <c r="T71" i="97"/>
  <c r="V68" i="97"/>
  <c r="P36" i="35"/>
  <c r="X31" i="35"/>
  <c r="H90" i="79"/>
  <c r="D31" i="96"/>
  <c r="L31" i="96" s="1"/>
  <c r="L28" i="96"/>
  <c r="N28" i="96" s="1"/>
  <c r="H33" i="75"/>
  <c r="J29" i="75"/>
  <c r="H36" i="26"/>
  <c r="N36" i="26" s="1"/>
  <c r="N31" i="26"/>
  <c r="T120" i="25"/>
  <c r="V116" i="25"/>
  <c r="P85" i="95"/>
  <c r="X81" i="95"/>
  <c r="R81" i="95"/>
  <c r="D236" i="12"/>
  <c r="L232" i="12"/>
  <c r="F232" i="12"/>
  <c r="H253" i="18"/>
  <c r="J250" i="18"/>
  <c r="H100" i="71"/>
  <c r="N96" i="71"/>
  <c r="J96" i="71"/>
  <c r="T123" i="66"/>
  <c r="V120" i="66"/>
  <c r="H36" i="38"/>
  <c r="N36" i="38" s="1"/>
  <c r="N31" i="38"/>
  <c r="L36" i="17"/>
  <c r="H83" i="70"/>
  <c r="J79" i="70"/>
  <c r="L76" i="73"/>
  <c r="N76" i="73" s="1"/>
  <c r="H36" i="7"/>
  <c r="N36" i="7" s="1"/>
  <c r="N31" i="7"/>
  <c r="T99" i="45"/>
  <c r="V96" i="45"/>
  <c r="H36" i="100"/>
  <c r="N36" i="100" s="1"/>
  <c r="N31" i="100"/>
  <c r="Z83" i="79"/>
  <c r="T87" i="79"/>
  <c r="D45" i="83"/>
  <c r="L45" i="83" s="1"/>
  <c r="L42" i="83"/>
  <c r="L88" i="85"/>
  <c r="N88" i="85" s="1"/>
  <c r="X116" i="66"/>
  <c r="Z116" i="66" s="1"/>
  <c r="P120" i="66"/>
  <c r="R116" i="66"/>
  <c r="P36" i="5"/>
  <c r="X36" i="5" s="1"/>
  <c r="X31" i="5"/>
  <c r="T122" i="39"/>
  <c r="V119" i="39"/>
  <c r="H63" i="65"/>
  <c r="P88" i="85"/>
  <c r="X84" i="85"/>
  <c r="Z84" i="85" s="1"/>
  <c r="R84" i="85"/>
  <c r="Z60" i="59"/>
  <c r="T63" i="59"/>
  <c r="T37" i="55"/>
  <c r="X37" i="55" s="1"/>
  <c r="Z34" i="55"/>
  <c r="T226" i="15"/>
  <c r="V222" i="15"/>
  <c r="N32" i="87"/>
  <c r="J32" i="87"/>
  <c r="N31" i="50"/>
  <c r="H36" i="50"/>
  <c r="N36" i="50" s="1"/>
  <c r="T39" i="88"/>
  <c r="L32" i="87"/>
  <c r="P236" i="12"/>
  <c r="X232" i="12"/>
  <c r="Z232" i="12" s="1"/>
  <c r="R232" i="12"/>
  <c r="T89" i="31"/>
  <c r="V86" i="31"/>
  <c r="H36" i="24"/>
  <c r="N36" i="24" s="1"/>
  <c r="N31" i="24"/>
  <c r="L59" i="65"/>
  <c r="N59" i="65" s="1"/>
  <c r="Z51" i="74"/>
  <c r="T40" i="82"/>
  <c r="Z37" i="82"/>
  <c r="D40" i="82"/>
  <c r="L40" i="82" s="1"/>
  <c r="L37" i="82"/>
  <c r="H117" i="77"/>
  <c r="J114" i="77"/>
  <c r="L31" i="8"/>
  <c r="D36" i="8"/>
  <c r="H68" i="48"/>
  <c r="N64" i="48"/>
  <c r="J64" i="48"/>
  <c r="H120" i="25"/>
  <c r="N116" i="25"/>
  <c r="J116" i="25"/>
  <c r="H37" i="78"/>
  <c r="J34" i="78"/>
  <c r="T236" i="12"/>
  <c r="V232" i="12"/>
  <c r="L36" i="49"/>
  <c r="Z79" i="70"/>
  <c r="T83" i="70"/>
  <c r="V79" i="70"/>
  <c r="T31" i="96"/>
  <c r="X28" i="96"/>
  <c r="Z28" i="96" s="1"/>
  <c r="L79" i="70"/>
  <c r="N79" i="70" s="1"/>
  <c r="D83" i="70"/>
  <c r="F79" i="70"/>
  <c r="D36" i="24"/>
  <c r="L31" i="24"/>
  <c r="L91" i="85"/>
  <c r="F91" i="85"/>
  <c r="P36" i="13"/>
  <c r="X31" i="13"/>
  <c r="P79" i="81"/>
  <c r="X76" i="81"/>
  <c r="Z76" i="81" s="1"/>
  <c r="N60" i="59"/>
  <c r="H63" i="59"/>
  <c r="L31" i="35"/>
  <c r="D36" i="35"/>
  <c r="P36" i="43"/>
  <c r="X31" i="43"/>
  <c r="P174" i="34"/>
  <c r="R171" i="34"/>
  <c r="D36" i="22"/>
  <c r="L31" i="22"/>
  <c r="D226" i="15"/>
  <c r="L222" i="15"/>
  <c r="N222" i="15" s="1"/>
  <c r="F222" i="15"/>
  <c r="T54" i="67"/>
  <c r="Z37" i="89"/>
  <c r="N31" i="52"/>
  <c r="H36" i="52"/>
  <c r="N36" i="52" s="1"/>
  <c r="T36" i="98"/>
  <c r="Z31" i="98"/>
  <c r="X31" i="98"/>
  <c r="V37" i="78"/>
  <c r="T36" i="26"/>
  <c r="Z36" i="26" s="1"/>
  <c r="Z31" i="26"/>
  <c r="N31" i="43"/>
  <c r="H36" i="43"/>
  <c r="N36" i="43" s="1"/>
  <c r="T45" i="63"/>
  <c r="P226" i="15"/>
  <c r="X222" i="15"/>
  <c r="Z222" i="15" s="1"/>
  <c r="R222" i="15"/>
  <c r="X42" i="83"/>
  <c r="Z42" i="83" s="1"/>
  <c r="P45" i="83"/>
  <c r="X45" i="83" s="1"/>
  <c r="Z45" i="83" s="1"/>
  <c r="T63" i="65"/>
  <c r="Z59" i="65"/>
  <c r="P36" i="19"/>
  <c r="X36" i="19" s="1"/>
  <c r="X31" i="19"/>
  <c r="D66" i="65"/>
  <c r="L63" i="65"/>
  <c r="F63" i="65"/>
  <c r="H37" i="89"/>
  <c r="N34" i="89"/>
  <c r="Z96" i="71"/>
  <c r="T100" i="71"/>
  <c r="V96" i="71"/>
  <c r="H41" i="84"/>
  <c r="L41" i="84" s="1"/>
  <c r="N37" i="84"/>
  <c r="H89" i="94"/>
  <c r="N85" i="94"/>
  <c r="J85" i="94"/>
  <c r="H106" i="62"/>
  <c r="N103" i="62"/>
  <c r="L36" i="5"/>
  <c r="X50" i="61"/>
  <c r="P53" i="61"/>
  <c r="X53" i="61" s="1"/>
  <c r="N31" i="29"/>
  <c r="H36" i="29"/>
  <c r="N36" i="29" s="1"/>
  <c r="D86" i="92"/>
  <c r="L83" i="92"/>
  <c r="F83" i="92"/>
  <c r="P36" i="8"/>
  <c r="X31" i="8"/>
  <c r="T76" i="58"/>
  <c r="Z73" i="58"/>
  <c r="D36" i="41"/>
  <c r="L36" i="41" s="1"/>
  <c r="L31" i="41"/>
  <c r="Z31" i="29"/>
  <c r="T36" i="29"/>
  <c r="Z36" i="29" s="1"/>
  <c r="D268" i="3"/>
  <c r="L264" i="3"/>
  <c r="N264" i="3" s="1"/>
  <c r="F264" i="3"/>
  <c r="X75" i="86"/>
  <c r="T36" i="16"/>
  <c r="Z36" i="16" s="1"/>
  <c r="Z31" i="16"/>
  <c r="P51" i="90"/>
  <c r="X47" i="90"/>
  <c r="Z47" i="90" s="1"/>
  <c r="R47" i="90"/>
  <c r="P114" i="77"/>
  <c r="X110" i="77"/>
  <c r="Z110" i="77" s="1"/>
  <c r="R110" i="77"/>
  <c r="P99" i="21"/>
  <c r="X95" i="21"/>
  <c r="Z95" i="21" s="1"/>
  <c r="R95" i="21"/>
  <c r="L31" i="52"/>
  <c r="H119" i="39"/>
  <c r="J115" i="39"/>
  <c r="T106" i="62"/>
  <c r="Z103" i="62"/>
  <c r="T33" i="93"/>
  <c r="Z30" i="93"/>
  <c r="D79" i="81"/>
  <c r="L79" i="81" s="1"/>
  <c r="N79" i="81" s="1"/>
  <c r="L76" i="81"/>
  <c r="N76" i="81" s="1"/>
  <c r="H36" i="30"/>
  <c r="N36" i="30" s="1"/>
  <c r="N31" i="30"/>
  <c r="H45" i="83"/>
  <c r="N42" i="83"/>
  <c r="P80" i="76"/>
  <c r="X76" i="76"/>
  <c r="Z76" i="76" s="1"/>
  <c r="R76" i="76"/>
  <c r="H36" i="23"/>
  <c r="N36" i="23" s="1"/>
  <c r="N31" i="23"/>
  <c r="Z31" i="20"/>
  <c r="T36" i="20"/>
  <c r="Z36" i="20" s="1"/>
  <c r="D36" i="44"/>
  <c r="L36" i="44" s="1"/>
  <c r="L31" i="44"/>
  <c r="H83" i="92"/>
  <c r="N79" i="92"/>
  <c r="Z167" i="34"/>
  <c r="T171" i="34"/>
  <c r="X171" i="34" s="1"/>
  <c r="V167" i="34"/>
  <c r="D36" i="4"/>
  <c r="L36" i="4" s="1"/>
  <c r="L31" i="4"/>
  <c r="D97" i="9"/>
  <c r="L97" i="9" s="1"/>
  <c r="N97" i="9" s="1"/>
  <c r="L94" i="9"/>
  <c r="N94" i="9" s="1"/>
  <c r="P36" i="100"/>
  <c r="X31" i="100"/>
  <c r="N30" i="93"/>
  <c r="H33" i="93"/>
  <c r="N33" i="93" s="1"/>
  <c r="L37" i="55"/>
  <c r="L73" i="56"/>
  <c r="P33" i="93"/>
  <c r="X33" i="93" s="1"/>
  <c r="X30" i="93"/>
  <c r="Z246" i="18"/>
  <c r="T250" i="18"/>
  <c r="V246" i="18"/>
  <c r="X164" i="28"/>
  <c r="Z164" i="28" s="1"/>
  <c r="X36" i="88"/>
  <c r="Z36" i="88" s="1"/>
  <c r="P36" i="41"/>
  <c r="X31" i="41"/>
  <c r="N31" i="40"/>
  <c r="H36" i="40"/>
  <c r="L31" i="40"/>
  <c r="H36" i="10"/>
  <c r="N36" i="10" s="1"/>
  <c r="N31" i="10"/>
  <c r="D119" i="39"/>
  <c r="L115" i="39"/>
  <c r="N115" i="39" s="1"/>
  <c r="F115" i="39"/>
  <c r="D110" i="42"/>
  <c r="L107" i="42"/>
  <c r="N107" i="42" s="1"/>
  <c r="F107" i="42"/>
  <c r="D86" i="31"/>
  <c r="L82" i="31"/>
  <c r="N82" i="31" s="1"/>
  <c r="F82" i="31"/>
  <c r="D83" i="76"/>
  <c r="L80" i="76"/>
  <c r="N80" i="76" s="1"/>
  <c r="F80" i="76"/>
  <c r="Z29" i="75"/>
  <c r="T33" i="75"/>
  <c r="V29" i="75"/>
  <c r="N31" i="99"/>
  <c r="H36" i="99"/>
  <c r="N36" i="99" s="1"/>
  <c r="H36" i="20"/>
  <c r="N31" i="20"/>
  <c r="L31" i="20"/>
  <c r="P37" i="78"/>
  <c r="X34" i="78"/>
  <c r="Z34" i="78" s="1"/>
  <c r="R34" i="78"/>
  <c r="T88" i="64"/>
  <c r="Z84" i="64"/>
  <c r="V84" i="64"/>
  <c r="P83" i="70"/>
  <c r="X79" i="70"/>
  <c r="R79" i="70"/>
  <c r="D118" i="36"/>
  <c r="L115" i="36"/>
  <c r="F115" i="36"/>
  <c r="P36" i="40"/>
  <c r="X31" i="40"/>
  <c r="P96" i="45"/>
  <c r="X92" i="45"/>
  <c r="Z92" i="45" s="1"/>
  <c r="R92" i="45"/>
  <c r="T36" i="44"/>
  <c r="Z36" i="44" s="1"/>
  <c r="Z31" i="44"/>
  <c r="P45" i="63"/>
  <c r="X42" i="63"/>
  <c r="Z42" i="63" s="1"/>
  <c r="T100" i="51"/>
  <c r="Z96" i="51"/>
  <c r="V96" i="51"/>
  <c r="N70" i="56"/>
  <c r="H73" i="56"/>
  <c r="P154" i="69"/>
  <c r="X151" i="69"/>
  <c r="R151" i="69"/>
  <c r="P120" i="25"/>
  <c r="X116" i="25"/>
  <c r="Z116" i="25" s="1"/>
  <c r="R116" i="25"/>
  <c r="P36" i="14"/>
  <c r="X36" i="14" s="1"/>
  <c r="X31" i="14"/>
  <c r="P171" i="28"/>
  <c r="X168" i="28"/>
  <c r="R168" i="28"/>
  <c r="P68" i="57"/>
  <c r="X68" i="57" s="1"/>
  <c r="Z68" i="57" s="1"/>
  <c r="X65" i="57"/>
  <c r="Z65" i="57" s="1"/>
  <c r="T83" i="92"/>
  <c r="Z79" i="92"/>
  <c r="V79" i="92"/>
  <c r="T75" i="86"/>
  <c r="Z72" i="86"/>
  <c r="P73" i="56"/>
  <c r="X73" i="56" s="1"/>
  <c r="Z73" i="56" s="1"/>
  <c r="X70" i="56"/>
  <c r="Z70" i="56" s="1"/>
  <c r="P31" i="54"/>
  <c r="X31" i="54" s="1"/>
  <c r="Z31" i="54" s="1"/>
  <c r="X26" i="54"/>
  <c r="T85" i="95"/>
  <c r="Z81" i="95"/>
  <c r="H151" i="69"/>
  <c r="N147" i="69"/>
  <c r="J147" i="69"/>
  <c r="T71" i="48"/>
  <c r="V68" i="48"/>
  <c r="P107" i="42"/>
  <c r="X103" i="42"/>
  <c r="Z103" i="42" s="1"/>
  <c r="R103" i="42"/>
  <c r="P36" i="17"/>
  <c r="X36" i="17" s="1"/>
  <c r="X31" i="17"/>
  <c r="T80" i="73"/>
  <c r="Z76" i="73"/>
  <c r="V76" i="73"/>
  <c r="H39" i="88"/>
  <c r="N36" i="88"/>
  <c r="D36" i="26"/>
  <c r="L31" i="26"/>
  <c r="D36" i="53"/>
  <c r="L36" i="53" s="1"/>
  <c r="L31" i="53"/>
  <c r="P106" i="62"/>
  <c r="X106" i="62" s="1"/>
  <c r="X103" i="62"/>
  <c r="P88" i="64"/>
  <c r="X84" i="64"/>
  <c r="R84" i="64"/>
  <c r="H99" i="45"/>
  <c r="N96" i="45"/>
  <c r="J96" i="45"/>
  <c r="D36" i="47"/>
  <c r="L31" i="47"/>
  <c r="X50" i="67"/>
  <c r="Z50" i="67" s="1"/>
  <c r="T36" i="43"/>
  <c r="Z36" i="43" s="1"/>
  <c r="Z31" i="43"/>
  <c r="P71" i="48"/>
  <c r="X68" i="48"/>
  <c r="Z68" i="48" s="1"/>
  <c r="R68" i="48"/>
  <c r="X36" i="7" l="1"/>
  <c r="L36" i="52"/>
  <c r="X36" i="4"/>
  <c r="L36" i="35"/>
  <c r="L36" i="22"/>
  <c r="L36" i="100"/>
  <c r="L36" i="33"/>
  <c r="X36" i="41"/>
  <c r="X36" i="46"/>
  <c r="X36" i="8"/>
  <c r="L36" i="47"/>
  <c r="L36" i="24"/>
  <c r="X36" i="40"/>
  <c r="X36" i="99"/>
  <c r="X36" i="24"/>
  <c r="L36" i="8"/>
  <c r="L36" i="30"/>
  <c r="J99" i="45"/>
  <c r="T57" i="67"/>
  <c r="P239" i="12"/>
  <c r="X236" i="12"/>
  <c r="Z236" i="12" s="1"/>
  <c r="R236" i="12"/>
  <c r="R253" i="18"/>
  <c r="V118" i="36"/>
  <c r="D36" i="75"/>
  <c r="L33" i="75"/>
  <c r="N33" i="75" s="1"/>
  <c r="F33" i="75"/>
  <c r="P86" i="92"/>
  <c r="X83" i="92"/>
  <c r="Z83" i="92" s="1"/>
  <c r="R83" i="92"/>
  <c r="X54" i="67"/>
  <c r="Z54" i="67" s="1"/>
  <c r="X36" i="16"/>
  <c r="L36" i="26"/>
  <c r="N151" i="69"/>
  <c r="H154" i="69"/>
  <c r="J151" i="69"/>
  <c r="Z75" i="86"/>
  <c r="R171" i="28"/>
  <c r="R154" i="69"/>
  <c r="X45" i="63"/>
  <c r="Z45" i="63" s="1"/>
  <c r="T91" i="64"/>
  <c r="V88" i="64"/>
  <c r="D122" i="39"/>
  <c r="L119" i="39"/>
  <c r="F119" i="39"/>
  <c r="P83" i="76"/>
  <c r="X80" i="76"/>
  <c r="Z80" i="76" s="1"/>
  <c r="R80" i="76"/>
  <c r="Z33" i="93"/>
  <c r="L86" i="92"/>
  <c r="F86" i="92"/>
  <c r="N106" i="62"/>
  <c r="X79" i="81"/>
  <c r="Z79" i="81" s="1"/>
  <c r="L83" i="70"/>
  <c r="D86" i="70"/>
  <c r="F83" i="70"/>
  <c r="X88" i="85"/>
  <c r="Z88" i="85" s="1"/>
  <c r="P91" i="85"/>
  <c r="R88" i="85"/>
  <c r="T90" i="79"/>
  <c r="X90" i="79" s="1"/>
  <c r="J253" i="18"/>
  <c r="X36" i="35"/>
  <c r="V110" i="42"/>
  <c r="J118" i="36"/>
  <c r="X36" i="29"/>
  <c r="L87" i="79"/>
  <c r="N87" i="79" s="1"/>
  <c r="D90" i="79"/>
  <c r="F87" i="79"/>
  <c r="V92" i="94"/>
  <c r="D174" i="34"/>
  <c r="L171" i="34"/>
  <c r="N171" i="34" s="1"/>
  <c r="F171" i="34"/>
  <c r="L88" i="95"/>
  <c r="F88" i="95"/>
  <c r="X36" i="38"/>
  <c r="Z44" i="84"/>
  <c r="V44" i="84"/>
  <c r="X57" i="67"/>
  <c r="F71" i="48"/>
  <c r="X36" i="11"/>
  <c r="X71" i="48"/>
  <c r="R71" i="48"/>
  <c r="N36" i="20"/>
  <c r="L36" i="20"/>
  <c r="T103" i="71"/>
  <c r="V100" i="71"/>
  <c r="P102" i="21"/>
  <c r="X99" i="21"/>
  <c r="R99" i="21"/>
  <c r="L36" i="29"/>
  <c r="X36" i="53"/>
  <c r="H36" i="75"/>
  <c r="J33" i="75"/>
  <c r="L36" i="46"/>
  <c r="L54" i="90"/>
  <c r="N54" i="90" s="1"/>
  <c r="F54" i="90"/>
  <c r="F83" i="73"/>
  <c r="L39" i="88"/>
  <c r="N36" i="16"/>
  <c r="L36" i="16"/>
  <c r="X29" i="87"/>
  <c r="Z29" i="87" s="1"/>
  <c r="P32" i="87"/>
  <c r="X32" i="87" s="1"/>
  <c r="Z32" i="87" s="1"/>
  <c r="N120" i="66"/>
  <c r="H123" i="66"/>
  <c r="J120" i="66"/>
  <c r="H103" i="51"/>
  <c r="N100" i="51"/>
  <c r="J100" i="51"/>
  <c r="L168" i="28"/>
  <c r="D171" i="28"/>
  <c r="F168" i="28"/>
  <c r="L36" i="98"/>
  <c r="L36" i="10"/>
  <c r="R174" i="34"/>
  <c r="X71" i="97"/>
  <c r="Z71" i="97" s="1"/>
  <c r="R71" i="97"/>
  <c r="H123" i="25"/>
  <c r="J120" i="25"/>
  <c r="T229" i="15"/>
  <c r="V226" i="15"/>
  <c r="N39" i="88"/>
  <c r="T88" i="95"/>
  <c r="Z85" i="95"/>
  <c r="N73" i="56"/>
  <c r="D89" i="31"/>
  <c r="L86" i="31"/>
  <c r="F86" i="31"/>
  <c r="Z106" i="62"/>
  <c r="T66" i="65"/>
  <c r="X36" i="43"/>
  <c r="X36" i="13"/>
  <c r="N63" i="65"/>
  <c r="H66" i="65"/>
  <c r="V123" i="66"/>
  <c r="P88" i="95"/>
  <c r="X85" i="95"/>
  <c r="R85" i="95"/>
  <c r="H57" i="67"/>
  <c r="Z53" i="61"/>
  <c r="Z151" i="69"/>
  <c r="T154" i="69"/>
  <c r="X154" i="69" s="1"/>
  <c r="V151" i="69"/>
  <c r="L151" i="69"/>
  <c r="D154" i="69"/>
  <c r="F151" i="69"/>
  <c r="L103" i="51"/>
  <c r="F103" i="51"/>
  <c r="L91" i="64"/>
  <c r="N91" i="64" s="1"/>
  <c r="F91" i="64"/>
  <c r="P103" i="51"/>
  <c r="X100" i="51"/>
  <c r="R100" i="51"/>
  <c r="R273" i="3"/>
  <c r="X87" i="79"/>
  <c r="Z87" i="79" s="1"/>
  <c r="H239" i="12"/>
  <c r="N236" i="12"/>
  <c r="J236" i="12"/>
  <c r="D57" i="67"/>
  <c r="L54" i="67"/>
  <c r="N54" i="67" s="1"/>
  <c r="L36" i="50"/>
  <c r="P36" i="75"/>
  <c r="X33" i="75"/>
  <c r="R33" i="75"/>
  <c r="T117" i="77"/>
  <c r="V114" i="77"/>
  <c r="X63" i="65"/>
  <c r="Z63" i="65" s="1"/>
  <c r="D123" i="66"/>
  <c r="L120" i="66"/>
  <c r="F120" i="66"/>
  <c r="X80" i="73"/>
  <c r="Z80" i="73" s="1"/>
  <c r="P83" i="73"/>
  <c r="R80" i="73"/>
  <c r="P103" i="71"/>
  <c r="X100" i="71"/>
  <c r="Z100" i="71" s="1"/>
  <c r="R100" i="71"/>
  <c r="L83" i="76"/>
  <c r="F83" i="76"/>
  <c r="P229" i="15"/>
  <c r="X226" i="15"/>
  <c r="Z226" i="15" s="1"/>
  <c r="R226" i="15"/>
  <c r="D92" i="94"/>
  <c r="L89" i="94"/>
  <c r="N89" i="94" s="1"/>
  <c r="F89" i="94"/>
  <c r="N88" i="95"/>
  <c r="H174" i="34"/>
  <c r="J171" i="34"/>
  <c r="X41" i="84"/>
  <c r="Z41" i="84" s="1"/>
  <c r="P44" i="84"/>
  <c r="X44" i="84" s="1"/>
  <c r="J117" i="77"/>
  <c r="P91" i="64"/>
  <c r="X88" i="64"/>
  <c r="Z88" i="64" s="1"/>
  <c r="R88" i="64"/>
  <c r="P110" i="42"/>
  <c r="X107" i="42"/>
  <c r="Z107" i="42" s="1"/>
  <c r="R107" i="42"/>
  <c r="L118" i="36"/>
  <c r="N118" i="36" s="1"/>
  <c r="F118" i="36"/>
  <c r="N45" i="83"/>
  <c r="T86" i="92"/>
  <c r="V83" i="92"/>
  <c r="X37" i="78"/>
  <c r="Z37" i="78" s="1"/>
  <c r="R37" i="78"/>
  <c r="T36" i="75"/>
  <c r="Z33" i="75"/>
  <c r="V33" i="75"/>
  <c r="T253" i="18"/>
  <c r="X253" i="18" s="1"/>
  <c r="Z250" i="18"/>
  <c r="V250" i="18"/>
  <c r="T174" i="34"/>
  <c r="Z171" i="34"/>
  <c r="V171" i="34"/>
  <c r="H92" i="94"/>
  <c r="J89" i="94"/>
  <c r="N37" i="89"/>
  <c r="Z36" i="98"/>
  <c r="X36" i="98"/>
  <c r="D229" i="15"/>
  <c r="L226" i="15"/>
  <c r="F226" i="15"/>
  <c r="T239" i="12"/>
  <c r="V236" i="12"/>
  <c r="Z37" i="55"/>
  <c r="P123" i="66"/>
  <c r="X120" i="66"/>
  <c r="Z120" i="66" s="1"/>
  <c r="R120" i="66"/>
  <c r="H86" i="70"/>
  <c r="N83" i="70"/>
  <c r="J83" i="70"/>
  <c r="V71" i="97"/>
  <c r="J273" i="3"/>
  <c r="N76" i="58"/>
  <c r="T102" i="21"/>
  <c r="Z99" i="21"/>
  <c r="V99" i="21"/>
  <c r="H229" i="15"/>
  <c r="N226" i="15"/>
  <c r="J226" i="15"/>
  <c r="N91" i="85"/>
  <c r="L36" i="37"/>
  <c r="D37" i="78"/>
  <c r="L37" i="78" s="1"/>
  <c r="L34" i="78"/>
  <c r="N34" i="78" s="1"/>
  <c r="R90" i="79"/>
  <c r="L36" i="38"/>
  <c r="N31" i="96"/>
  <c r="Z168" i="28"/>
  <c r="T171" i="28"/>
  <c r="V168" i="28"/>
  <c r="L75" i="86"/>
  <c r="N75" i="86" s="1"/>
  <c r="P89" i="31"/>
  <c r="X86" i="31"/>
  <c r="Z86" i="31" s="1"/>
  <c r="R86" i="31"/>
  <c r="R66" i="65"/>
  <c r="D103" i="71"/>
  <c r="L100" i="71"/>
  <c r="F100" i="71"/>
  <c r="P122" i="39"/>
  <c r="X119" i="39"/>
  <c r="Z119" i="39" s="1"/>
  <c r="R119" i="39"/>
  <c r="L36" i="99"/>
  <c r="N45" i="63"/>
  <c r="L45" i="63"/>
  <c r="N36" i="40"/>
  <c r="L36" i="40"/>
  <c r="X36" i="100"/>
  <c r="X114" i="77"/>
  <c r="Z114" i="77" s="1"/>
  <c r="P117" i="77"/>
  <c r="R114" i="77"/>
  <c r="Z31" i="96"/>
  <c r="X31" i="96"/>
  <c r="N68" i="48"/>
  <c r="H71" i="48"/>
  <c r="L71" i="48" s="1"/>
  <c r="J68" i="48"/>
  <c r="V89" i="31"/>
  <c r="D239" i="12"/>
  <c r="L236" i="12"/>
  <c r="F236" i="12"/>
  <c r="P92" i="94"/>
  <c r="X89" i="94"/>
  <c r="Z89" i="94" s="1"/>
  <c r="R89" i="94"/>
  <c r="D117" i="77"/>
  <c r="L114" i="77"/>
  <c r="N114" i="77" s="1"/>
  <c r="F114" i="77"/>
  <c r="X63" i="59"/>
  <c r="Z63" i="59" s="1"/>
  <c r="Z97" i="9"/>
  <c r="N51" i="74"/>
  <c r="L99" i="45"/>
  <c r="N99" i="45" s="1"/>
  <c r="F99" i="45"/>
  <c r="D123" i="25"/>
  <c r="L120" i="25"/>
  <c r="N120" i="25" s="1"/>
  <c r="F120" i="25"/>
  <c r="D102" i="21"/>
  <c r="L99" i="21"/>
  <c r="F99" i="21"/>
  <c r="X76" i="58"/>
  <c r="Z76" i="58" s="1"/>
  <c r="P54" i="90"/>
  <c r="X51" i="90"/>
  <c r="Z51" i="90" s="1"/>
  <c r="R51" i="90"/>
  <c r="N80" i="73"/>
  <c r="H83" i="73"/>
  <c r="T83" i="73"/>
  <c r="V80" i="73"/>
  <c r="Z71" i="48"/>
  <c r="V71" i="48"/>
  <c r="P123" i="25"/>
  <c r="X120" i="25"/>
  <c r="R120" i="25"/>
  <c r="P99" i="45"/>
  <c r="X96" i="45"/>
  <c r="Z96" i="45" s="1"/>
  <c r="R96" i="45"/>
  <c r="X83" i="70"/>
  <c r="P86" i="70"/>
  <c r="R83" i="70"/>
  <c r="L110" i="42"/>
  <c r="N110" i="42" s="1"/>
  <c r="F110" i="42"/>
  <c r="H122" i="39"/>
  <c r="N119" i="39"/>
  <c r="J119" i="39"/>
  <c r="D273" i="3"/>
  <c r="L268" i="3"/>
  <c r="N268" i="3" s="1"/>
  <c r="F268" i="3"/>
  <c r="X39" i="88"/>
  <c r="Z39" i="88" s="1"/>
  <c r="N41" i="84"/>
  <c r="H44" i="84"/>
  <c r="N63" i="59"/>
  <c r="N37" i="78"/>
  <c r="J37" i="78"/>
  <c r="V122" i="39"/>
  <c r="N100" i="71"/>
  <c r="H103" i="71"/>
  <c r="J100" i="71"/>
  <c r="L36" i="43"/>
  <c r="T123" i="25"/>
  <c r="Z120" i="25"/>
  <c r="V120" i="25"/>
  <c r="X36" i="44"/>
  <c r="H89" i="31"/>
  <c r="N86" i="31"/>
  <c r="J86" i="31"/>
  <c r="L36" i="23"/>
  <c r="L36" i="11"/>
  <c r="N40" i="82"/>
  <c r="D71" i="97"/>
  <c r="L68" i="97"/>
  <c r="N68" i="97" s="1"/>
  <c r="F68" i="97"/>
  <c r="L36" i="13"/>
  <c r="L44" i="84"/>
  <c r="L33" i="93"/>
  <c r="X36" i="22"/>
  <c r="H171" i="28"/>
  <c r="N168" i="28"/>
  <c r="J168" i="28"/>
  <c r="D253" i="18"/>
  <c r="L250" i="18"/>
  <c r="N250" i="18" s="1"/>
  <c r="F250" i="18"/>
  <c r="L36" i="7"/>
  <c r="N37" i="55"/>
  <c r="X36" i="52"/>
  <c r="H102" i="21"/>
  <c r="N99" i="21"/>
  <c r="J99" i="21"/>
  <c r="X40" i="82"/>
  <c r="Z40" i="82" s="1"/>
  <c r="T103" i="51"/>
  <c r="Z100" i="51"/>
  <c r="V100" i="51"/>
  <c r="H86" i="92"/>
  <c r="N83" i="92"/>
  <c r="L66" i="65"/>
  <c r="F66" i="65"/>
  <c r="Z83" i="70"/>
  <c r="T86" i="70"/>
  <c r="V83" i="70"/>
  <c r="X36" i="26"/>
  <c r="V99" i="45"/>
  <c r="T273" i="3"/>
  <c r="Z268" i="3"/>
  <c r="V268" i="3"/>
  <c r="X118" i="36"/>
  <c r="Z118" i="36" s="1"/>
  <c r="R118" i="36"/>
  <c r="X36" i="20"/>
  <c r="N83" i="76"/>
  <c r="L117" i="77" l="1"/>
  <c r="N117" i="77" s="1"/>
  <c r="F117" i="77"/>
  <c r="X117" i="77"/>
  <c r="R117" i="77"/>
  <c r="V174" i="34"/>
  <c r="L154" i="69"/>
  <c r="F154" i="69"/>
  <c r="N123" i="25"/>
  <c r="J123" i="25"/>
  <c r="X91" i="85"/>
  <c r="Z91" i="85" s="1"/>
  <c r="R91" i="85"/>
  <c r="J102" i="21"/>
  <c r="V83" i="73"/>
  <c r="J229" i="15"/>
  <c r="X110" i="42"/>
  <c r="Z110" i="42" s="1"/>
  <c r="R110" i="42"/>
  <c r="L92" i="94"/>
  <c r="F92" i="94"/>
  <c r="X103" i="71"/>
  <c r="R103" i="71"/>
  <c r="L57" i="67"/>
  <c r="Z66" i="65"/>
  <c r="L171" i="28"/>
  <c r="N171" i="28" s="1"/>
  <c r="F171" i="28"/>
  <c r="X86" i="92"/>
  <c r="R86" i="92"/>
  <c r="N86" i="92"/>
  <c r="L71" i="97"/>
  <c r="N71" i="97" s="1"/>
  <c r="F71" i="97"/>
  <c r="J89" i="31"/>
  <c r="J103" i="71"/>
  <c r="N44" i="84"/>
  <c r="J122" i="39"/>
  <c r="X99" i="45"/>
  <c r="Z99" i="45" s="1"/>
  <c r="R99" i="45"/>
  <c r="X122" i="39"/>
  <c r="Z122" i="39" s="1"/>
  <c r="R122" i="39"/>
  <c r="X89" i="31"/>
  <c r="Z89" i="31" s="1"/>
  <c r="R89" i="31"/>
  <c r="X103" i="51"/>
  <c r="R103" i="51"/>
  <c r="X88" i="95"/>
  <c r="Z88" i="95" s="1"/>
  <c r="R88" i="95"/>
  <c r="V91" i="64"/>
  <c r="N154" i="69"/>
  <c r="J154" i="69"/>
  <c r="L102" i="21"/>
  <c r="N102" i="21" s="1"/>
  <c r="F102" i="21"/>
  <c r="J171" i="28"/>
  <c r="X92" i="94"/>
  <c r="Z92" i="94" s="1"/>
  <c r="R92" i="94"/>
  <c r="Z239" i="12"/>
  <c r="V239" i="12"/>
  <c r="Z253" i="18"/>
  <c r="V253" i="18"/>
  <c r="Z117" i="77"/>
  <c r="V117" i="77"/>
  <c r="X102" i="21"/>
  <c r="R102" i="21"/>
  <c r="L90" i="79"/>
  <c r="N90" i="79" s="1"/>
  <c r="F90" i="79"/>
  <c r="L86" i="70"/>
  <c r="N86" i="70" s="1"/>
  <c r="F86" i="70"/>
  <c r="Z102" i="21"/>
  <c r="V102" i="21"/>
  <c r="J86" i="70"/>
  <c r="N92" i="94"/>
  <c r="J92" i="94"/>
  <c r="X91" i="64"/>
  <c r="Z91" i="64" s="1"/>
  <c r="R91" i="64"/>
  <c r="N174" i="34"/>
  <c r="J174" i="34"/>
  <c r="X229" i="15"/>
  <c r="R229" i="15"/>
  <c r="J239" i="12"/>
  <c r="X83" i="76"/>
  <c r="Z83" i="76" s="1"/>
  <c r="R83" i="76"/>
  <c r="L36" i="75"/>
  <c r="N36" i="75" s="1"/>
  <c r="F36" i="75"/>
  <c r="X239" i="12"/>
  <c r="R239" i="12"/>
  <c r="Z86" i="70"/>
  <c r="V86" i="70"/>
  <c r="Z103" i="51"/>
  <c r="V103" i="51"/>
  <c r="X123" i="25"/>
  <c r="Z123" i="25" s="1"/>
  <c r="R123" i="25"/>
  <c r="L103" i="71"/>
  <c r="N103" i="71" s="1"/>
  <c r="F103" i="71"/>
  <c r="V171" i="28"/>
  <c r="N66" i="65"/>
  <c r="Z229" i="15"/>
  <c r="V229" i="15"/>
  <c r="X174" i="34"/>
  <c r="Z174" i="34" s="1"/>
  <c r="N103" i="51"/>
  <c r="J103" i="51"/>
  <c r="J36" i="75"/>
  <c r="L253" i="18"/>
  <c r="N253" i="18" s="1"/>
  <c r="F253" i="18"/>
  <c r="N71" i="48"/>
  <c r="J71" i="48"/>
  <c r="Z86" i="92"/>
  <c r="V86" i="92"/>
  <c r="X83" i="73"/>
  <c r="Z83" i="73" s="1"/>
  <c r="R83" i="73"/>
  <c r="Z154" i="69"/>
  <c r="V154" i="69"/>
  <c r="V273" i="3"/>
  <c r="X86" i="70"/>
  <c r="R86" i="70"/>
  <c r="L123" i="25"/>
  <c r="F123" i="25"/>
  <c r="L239" i="12"/>
  <c r="N239" i="12" s="1"/>
  <c r="F239" i="12"/>
  <c r="L229" i="15"/>
  <c r="N229" i="15" s="1"/>
  <c r="F229" i="15"/>
  <c r="V36" i="75"/>
  <c r="X36" i="75"/>
  <c r="Z36" i="75" s="1"/>
  <c r="R36" i="75"/>
  <c r="N57" i="67"/>
  <c r="L89" i="31"/>
  <c r="N89" i="31" s="1"/>
  <c r="F89" i="31"/>
  <c r="Z103" i="71"/>
  <c r="V103" i="71"/>
  <c r="Z90" i="79"/>
  <c r="Z57" i="67"/>
  <c r="V123" i="25"/>
  <c r="L273" i="3"/>
  <c r="N273" i="3" s="1"/>
  <c r="F273" i="3"/>
  <c r="X54" i="90"/>
  <c r="Z54" i="90" s="1"/>
  <c r="R54" i="90"/>
  <c r="X66" i="65"/>
  <c r="X123" i="66"/>
  <c r="Z123" i="66" s="1"/>
  <c r="R123" i="66"/>
  <c r="L123" i="66"/>
  <c r="N123" i="66" s="1"/>
  <c r="F123" i="66"/>
  <c r="X273" i="3"/>
  <c r="Z273" i="3" s="1"/>
  <c r="J123" i="66"/>
  <c r="L83" i="73"/>
  <c r="N83" i="73" s="1"/>
  <c r="L174" i="34"/>
  <c r="F174" i="34"/>
  <c r="L122" i="39"/>
  <c r="N122" i="39" s="1"/>
  <c r="F122" i="39"/>
  <c r="X171" i="28"/>
  <c r="Z171" i="2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<sst xmlns="http://schemas.openxmlformats.org/spreadsheetml/2006/main" count="2870" uniqueCount="315">
  <si>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</si>
  <si>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</si>
  <si>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</si>
  <si>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</si>
  <si>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</si>
  <si>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</si>
  <si>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</si>
  <si>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</si>
  <si>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</si>
  <si>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</si>
  <si>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</si>
  <si>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</si>
  <si>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</si>
  <si>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</si>
  <si>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</si>
  <si>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</si>
  <si>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</si>
  <si>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</si>
  <si>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</si>
  <si>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</si>
  <si>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</si>
  <si>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</si>
  <si>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</si>
  <si>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</si>
  <si>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</si>
  <si>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</si>
  <si>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</si>
  <si>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</si>
  <si>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</si>
  <si>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</si>
  <si>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</si>
  <si>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</si>
  <si>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</si>
  <si>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</si>
  <si>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</si>
  <si>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</si>
  <si>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</si>
  <si>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</si>
  <si>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</si>
  <si>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</si>
  <si>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</si>
  <si>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</si>
  <si>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</si>
  <si>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</si>
  <si>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</si>
  <si>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</si>
  <si>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</si>
  <si>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</si>
  <si>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</si>
  <si>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</si>
  <si>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</si>
  <si>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</si>
  <si>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</si>
  <si>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</si>
  <si>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</si>
  <si>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</si>
  <si>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</si>
  <si>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</si>
  <si>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</si>
  <si>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</si>
  <si>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</si>
  <si>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</si>
  <si>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</si>
  <si>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</si>
  <si>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</si>
  <si>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</si>
  <si>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</si>
  <si>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</si>
  <si>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</si>
  <si>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</si>
  <si>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</si>
  <si>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</si>
  <si>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</si>
  <si>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</si>
  <si>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</si>
  <si>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</si>
  <si>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</si>
  <si>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</si>
  <si>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</si>
  <si>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</si>
  <si>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</si>
  <si>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</si>
  <si>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</si>
  <si>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</si>
  <si>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</si>
  <si>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</si>
  <si>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</si>
  <si>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</si>
  <si>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</si>
  <si>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</si>
  <si>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</si>
  <si>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</si>
  <si>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</si>
  <si>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</si>
  <si>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</si>
  <si>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</si>
  <si>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</si>
  <si>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</si>
  <si>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</si>
  <si>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</si>
  <si>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</si>
  <si>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</si>
  <si>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</si>
  <si>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</si>
  <si>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</si>
  <si>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</si>
  <si>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</si>
  <si>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</si>
  <si>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</si>
  <si>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</si>
  <si>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</si>
  <si>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</si>
  <si>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</si>
  <si>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</si>
  <si>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</si>
  <si>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</si>
  <si>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</si>
  <si>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</si>
  <si>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</si>
  <si>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</si>
  <si>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</si>
  <si>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</si>
  <si>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</si>
  <si>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</si>
  <si>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</si>
  <si>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</si>
  <si>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</si>
  <si>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</si>
  <si>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</si>
  <si>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</si>
  <si>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</si>
  <si>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</si>
  <si>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</si>
  <si>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</si>
  <si>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</si>
  <si>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</si>
  <si>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</si>
  <si>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</si>
  <si>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</si>
  <si>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</si>
  <si>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</si>
  <si>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</si>
  <si>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</si>
  <si>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</si>
  <si>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</si>
  <si>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</si>
  <si>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</si>
  <si>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</si>
  <si>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</si>
  <si>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</si>
  <si>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</si>
  <si>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</si>
  <si>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</si>
  <si>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</si>
  <si>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</si>
  <si>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</si>
  <si>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</si>
  <si>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</si>
  <si>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</si>
  <si>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</si>
  <si>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</si>
  <si>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</si>
  <si>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</si>
  <si>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</si>
  <si>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</si>
  <si>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</si>
  <si>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</si>
  <si>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</si>
  <si>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</si>
  <si>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</si>
  <si>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</si>
  <si>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</si>
  <si>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</si>
  <si>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</si>
  <si>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</si>
  <si>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</si>
  <si>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</si>
  <si>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</si>
  <si>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</si>
  <si>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</si>
  <si>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</si>
  <si>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</si>
  <si>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</si>
  <si>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</si>
  <si>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</si>
  <si>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</si>
  <si>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</si>
  <si>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</si>
  <si>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</si>
  <si>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</si>
  <si>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</si>
  <si>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</si>
  <si>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</si>
  <si>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</si>
  <si>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</si>
  <si>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</si>
  <si>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</si>
  <si>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</si>
  <si>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</si>
  <si>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</si>
  <si>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</si>
  <si>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</si>
  <si>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</si>
  <si>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</si>
  <si>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</si>
  <si>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</si>
  <si>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</si>
  <si>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</si>
  <si>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</si>
  <si>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</si>
  <si>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</si>
  <si>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</si>
  <si>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</si>
  <si>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</si>
  <si>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</si>
  <si>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</si>
  <si>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</si>
  <si>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</si>
  <si>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</si>
  <si>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</si>
  <si>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</si>
  <si>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</si>
  <si>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</si>
  <si>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</si>
  <si>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</si>
  <si>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</si>
  <si>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</si>
  <si>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</si>
  <si>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</si>
  <si>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</si>
  <si>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</si>
  <si>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</si>
  <si>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</si>
  <si>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</si>
  <si>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</si>
  <si>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</si>
  <si>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</si>
  <si>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</si>
  <si>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</si>
  <si>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</si>
  <si>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</si>
  <si>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</si>
  <si>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</si>
  <si>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</si>
  <si>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</si>
  <si>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</si>
  <si>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</si>
  <si>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</si>
  <si>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</si>
  <si>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</si>
  <si>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</si>
  <si>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</si>
  <si>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</si>
  <si>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</si>
  <si>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</si>
  <si>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</si>
  <si>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</si>
  <si>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</si>
  <si>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</si>
  <si>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</si>
  <si>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</si>
  <si>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</si>
  <si>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</si>
  <si>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</si>
  <si>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</si>
  <si>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</si>
  <si>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</si>
  <si>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</si>
  <si>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</si>
  <si>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</si>
  <si>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</si>
  <si>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</si>
  <si>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</si>
  <si>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</si>
  <si>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</si>
  <si>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</si>
  <si>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</si>
  <si>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</si>
  <si>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</si>
  <si>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</si>
  <si>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</si>
  <si>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</si>
  <si>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</si>
  <si>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Prior Year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</si>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</sst>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  <font>
      <sz val="11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1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5" fontId="3" fillId="0" borderId="0" xfId="3" applyNumberFormat="1" applyFont="1" applyAlignment="1"/>
    <xf numFmtId="164" fontId="3" fillId="0" borderId="0" xfId="1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2" fillId="2" borderId="0" xfId="1" applyNumberFormat="1" applyFont="1" applyFill="1" applyAlignment="1"/>
    <xf numFmtId="164" fontId="0" fillId="0" borderId="0" xfId="1" applyNumberFormat="1" applyFont="1" applyAlignment="1"/>
    <xf numFmtId="0" fontId="0" fillId="0" borderId="0" xfId="0" applyNumberFormat="1" applyFont="1" applyAlignment="1">
      <alignment horizontal="left"/>
    </xf>
    <xf numFmtId="165" fontId="3" fillId="0" borderId="0" xfId="3" applyNumberFormat="1" applyFont="1" applyAlignment="1"/>
    <xf numFmtId="164" fontId="2" fillId="0" borderId="0" xfId="1" applyNumberFormat="1" applyFont="1" applyAlignment="1"/>
    <xf numFmtId="165" fontId="2" fillId="2" borderId="2" xfId="3" applyNumberFormat="1" applyFont="1" applyFill="1" applyBorder="1" applyAlignment="1"/>
    <xf numFmtId="166" fontId="2" fillId="2" borderId="2" xfId="2" applyNumberFormat="1" applyFont="1" applyFill="1" applyBorder="1" applyAlignment="1"/>
    <xf numFmtId="0" fontId="2" fillId="0" borderId="0" xfId="0" applyNumberFormat="1" applyFo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65" fontId="2" fillId="2" borderId="3" xfId="3" applyNumberFormat="1" applyFont="1" applyFill="1" applyBorder="1" applyAlignment="1"/>
    <xf numFmtId="165" fontId="2" fillId="0" borderId="0" xfId="3" applyNumberFormat="1" applyFont="1" applyAlignment="1"/>
    <xf numFmtId="49" fontId="2" fillId="0" borderId="0" xfId="0" applyNumberFormat="1" applyFont="1" applyAlignment="1">
      <alignment horizontal="center"/>
    </xf>
    <xf numFmtId="165" fontId="2" fillId="2" borderId="1" xfId="3" applyNumberFormat="1" applyFont="1" applyFill="1" applyBorder="1" applyAlignment="1">
      <alignment horizontal="center"/>
    </xf>
    <xf numFmtId="166" fontId="2" fillId="2" borderId="4" xfId="2" applyNumberFormat="1" applyFont="1" applyFill="1" applyBorder="1" applyAlignment="1"/>
    <xf numFmtId="165" fontId="2" fillId="2" borderId="4" xfId="3" applyNumberFormat="1" applyFont="1" applyFill="1" applyBorder="1" applyAlignment="1"/>
    <xf numFmtId="166" fontId="2" fillId="2" borderId="3" xfId="2" applyNumberFormat="1" applyFont="1" applyFill="1" applyBorder="1" applyAlignment="1"/>
    <xf numFmtId="0" fontId="0" fillId="0" borderId="0" xfId="0" applyNumberFormat="1" applyFont="1"/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/>
    </xf>
    <xf numFmtId="165" fontId="0" fillId="0" borderId="0" xfId="1" applyNumberFormat="1" applyFont="1" applyAlignment="1"/>
    <xf numFmtId="49" fontId="3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165" fontId="0" fillId="0" borderId="0" xfId="0" applyNumberFormat="1" applyFont="1"/>
    <xf numFmtId="164" fontId="2" fillId="0" borderId="0" xfId="1" applyNumberFormat="1" applyFont="1" applyAlignment="1">
      <alignment horizontal="left"/>
    </xf>
    <xf numFmtId="165" fontId="0" fillId="0" borderId="0" xfId="3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/>
    <xf numFmtId="0" fontId="4" fillId="0" borderId="0" xfId="0" applyNumberFormat="1" applyFont="1"/>
    <xf numFmtId="167" fontId="5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NumberFormat="1" applyFont="1"/>
    <xf numFmtId="168" fontId="0" fillId="0" borderId="0" xfId="0" applyNumberFormat="1" applyFont="1"/>
    <xf numFmtId="0" fontId="6" fillId="0" borderId="0" xfId="0" applyNumberFormat="1" applyFont="1"/>
    <xf numFmtId="0" fontId="2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eetMetadata" Target="metadata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EC0F8-653B-3F3F-F217-03F59159B996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5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24606-25A3-C7CA-C201-D9D898515F4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00904-C032-295E-D588-A435E32F62E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BBF6-10A8-3153-A304-7C76CC02C51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D131-97F1-4F71-F497-108CA5EF879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B1289-F0AE-B591-1496-3482BA88D0B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84B7-4754-2878-33F4-DD30D60809FA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7BD6A-D73F-557C-AE86-D207748AD792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09AD-94DC-B18A-A98D-3AD70DEA0F0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B6672-F344-3CF5-8B92-4E2658B08E2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91FBE-62E1-0083-794A-E01C74A0D75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304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BF4BE-68CD-8A52-4B09-2B3312AEB717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5" customWidth="1"/>
    <col min="221" max="221" width="20.6640625" style="70" customWidth="1"/>
    <col min="222" max="223" width="20.6640625" style="65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1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B4E4F-4595-DC09-A4CC-1347E615D9F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305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76141-9E69-95DF-32EF-2D6129BA2BB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305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19B2-35A4-5ADF-AFD4-B23F78553B7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306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01551-3962-ACDA-99E8-1AD59AAD344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306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F82A-20F7-2B45-DD4A-B62BC6CD56C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307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66356-7512-60AA-A3AB-A67821ED1AC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307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D09F6-E465-AE9D-C758-6E954BC4292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2B1D-887B-384A-FB0B-87D824360BAD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70F32-5C6B-3907-2065-F36E5F474C9B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6718B-CC67-08DB-4059-FFAB05A2FAA6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C0001-2608-4321-47A3-B30AD8C9CDE7}">
  <sheetPr>
    <tabColor rgb="FF00B0F0"/>
    <outlinePr summaryBelow="0" summaryRight="0"/>
  </sheetPr>
  <dimension ref="A2:Z278"/>
  <sheetViews>
    <sheetView showGridLines="0" tabSelected="1" defaultGridColor="0" colorId="8" zoomScale="80" workbookViewId="0">
      <pane xSplit="3" ySplit="10" topLeftCell="D201" activePane="bottomRight" state="frozen"/>
      <selection pane="topRight" activeCell="D1" sqref="D1"/>
      <selection pane="bottomLeft" activeCell="A11" sqref="A11"/>
      <selection pane="bottomRight" activeCell="D192" sqref="D192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278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2685762.0700000003</v>
      </c>
      <c r="E12" s="5"/>
      <c r="F12" s="13"/>
      <c r="G12" s="5"/>
      <c r="H12" s="5">
        <f>SUM(OSRRefH13x_0)</f>
        <v>546130.33000000007</v>
      </c>
      <c r="I12" s="5"/>
      <c r="J12" s="13"/>
      <c r="K12" s="5"/>
      <c r="L12" s="5">
        <f t="shared" ref="L12:L43" si="0">+D12-H12</f>
        <v>2139631.7400000002</v>
      </c>
      <c r="M12" s="5"/>
      <c r="N12" s="13">
        <f t="shared" ref="N12:N43" si="1">IF(H12=0,0,L12/H12)</f>
        <v>3.9178042721047923</v>
      </c>
      <c r="O12" s="11"/>
      <c r="P12" s="5">
        <f>SUM(OSRRefP13x_0)</f>
        <v>15646485.23</v>
      </c>
      <c r="Q12" s="5"/>
      <c r="R12" s="13"/>
      <c r="S12" s="5"/>
      <c r="T12" s="5">
        <f>SUM(OSRRefT13x_0)</f>
        <v>7151385.990000003</v>
      </c>
      <c r="U12" s="5"/>
      <c r="V12" s="13"/>
      <c r="W12" s="5"/>
      <c r="X12" s="5">
        <f t="shared" ref="X12:X43" si="2">+P12-T12</f>
        <v>8495099.2399999984</v>
      </c>
      <c r="Y12" s="5"/>
      <c r="Z12" s="13">
        <f t="shared" ref="Z12:Z43" si="3">IF(T12=0,0,X12/T12)</f>
        <v>1.1878955005196126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--800682.06</f>
        <v>800682.06</v>
      </c>
      <c r="E13" s="3"/>
      <c r="F13" s="20"/>
      <c r="G13" s="3"/>
      <c r="H13" s="3">
        <f>-7402.1</f>
        <v>-7402.1</v>
      </c>
      <c r="I13" s="3"/>
      <c r="J13" s="20"/>
      <c r="K13" s="3"/>
      <c r="L13" s="3">
        <f t="shared" si="0"/>
        <v>808084.16</v>
      </c>
      <c r="M13" s="3"/>
      <c r="N13" s="20">
        <f t="shared" si="1"/>
        <v>-109.16958160522015</v>
      </c>
      <c r="O13" s="12"/>
      <c r="P13" s="3">
        <f>--5491587.29</f>
        <v>5491587.29</v>
      </c>
      <c r="Q13" s="3"/>
      <c r="R13" s="20"/>
      <c r="S13" s="3"/>
      <c r="T13" s="3">
        <f>-111058.09</f>
        <v>-111058.09</v>
      </c>
      <c r="U13" s="3"/>
      <c r="V13" s="20"/>
      <c r="W13" s="3"/>
      <c r="X13" s="3">
        <f t="shared" si="2"/>
        <v>5602645.3799999999</v>
      </c>
      <c r="Y13" s="3"/>
      <c r="Z13" s="20">
        <f t="shared" si="3"/>
        <v>-50.44788164464201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--34627.67</f>
        <v>34627.67</v>
      </c>
      <c r="I14" s="3"/>
      <c r="J14" s="20"/>
      <c r="K14" s="3"/>
      <c r="L14" s="3">
        <f t="shared" si="0"/>
        <v>-34627.67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--1224724.01</f>
        <v>1224724.01</v>
      </c>
      <c r="U14" s="3"/>
      <c r="V14" s="20"/>
      <c r="W14" s="3"/>
      <c r="X14" s="3">
        <f t="shared" si="2"/>
        <v>-1224724.01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--12732.98</f>
        <v>12732.98</v>
      </c>
      <c r="I15" s="3"/>
      <c r="J15" s="20"/>
      <c r="K15" s="3"/>
      <c r="L15" s="3">
        <f t="shared" si="0"/>
        <v>-12732.98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--575134.48</f>
        <v>575134.48</v>
      </c>
      <c r="U15" s="3"/>
      <c r="V15" s="20"/>
      <c r="W15" s="3"/>
      <c r="X15" s="3">
        <f t="shared" si="2"/>
        <v>-575134.48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--41.38</f>
        <v>41.38</v>
      </c>
      <c r="I21" s="3"/>
      <c r="J21" s="20"/>
      <c r="K21" s="3"/>
      <c r="L21" s="3">
        <f t="shared" si="0"/>
        <v>-41.38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--448.38</f>
        <v>448.38</v>
      </c>
      <c r="U21" s="3"/>
      <c r="V21" s="20"/>
      <c r="W21" s="3"/>
      <c r="X21" s="3">
        <f t="shared" si="2"/>
        <v>-448.38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--5808.1</f>
        <v>5808.1</v>
      </c>
      <c r="I22" s="3"/>
      <c r="J22" s="20"/>
      <c r="K22" s="3"/>
      <c r="L22" s="3">
        <f t="shared" si="0"/>
        <v>-5808.1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--54484.32</f>
        <v>54484.32</v>
      </c>
      <c r="U22" s="3"/>
      <c r="V22" s="20"/>
      <c r="W22" s="3"/>
      <c r="X22" s="3">
        <f t="shared" si="2"/>
        <v>-54484.32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--1924.8</f>
        <v>1924.8</v>
      </c>
      <c r="I23" s="3"/>
      <c r="J23" s="20"/>
      <c r="K23" s="3"/>
      <c r="L23" s="3">
        <f t="shared" si="0"/>
        <v>-1924.8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--40876.62</f>
        <v>40876.620000000003</v>
      </c>
      <c r="U23" s="3"/>
      <c r="V23" s="20"/>
      <c r="W23" s="3"/>
      <c r="X23" s="3">
        <f t="shared" si="2"/>
        <v>-40876.620000000003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--593.6</f>
        <v>593.6</v>
      </c>
      <c r="I24" s="3"/>
      <c r="J24" s="20"/>
      <c r="K24" s="3"/>
      <c r="L24" s="3">
        <f t="shared" si="0"/>
        <v>-593.6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--3180.84</f>
        <v>3180.84</v>
      </c>
      <c r="U24" s="3"/>
      <c r="V24" s="20"/>
      <c r="W24" s="3"/>
      <c r="X24" s="3">
        <f t="shared" si="2"/>
        <v>-3180.84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--73245.08</f>
        <v>73245.08</v>
      </c>
      <c r="I27" s="3"/>
      <c r="J27" s="20"/>
      <c r="K27" s="3"/>
      <c r="L27" s="3">
        <f t="shared" si="0"/>
        <v>-73245.08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--671347.98</f>
        <v>671347.98</v>
      </c>
      <c r="U27" s="3"/>
      <c r="V27" s="20"/>
      <c r="W27" s="3"/>
      <c r="X27" s="3">
        <f t="shared" si="2"/>
        <v>-671347.98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--27100.04</f>
        <v>27100.04</v>
      </c>
      <c r="I28" s="3"/>
      <c r="J28" s="20"/>
      <c r="K28" s="3"/>
      <c r="L28" s="3">
        <f t="shared" si="0"/>
        <v>-27100.04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--276199.31</f>
        <v>276199.31</v>
      </c>
      <c r="U28" s="3"/>
      <c r="V28" s="20"/>
      <c r="W28" s="3"/>
      <c r="X28" s="3">
        <f t="shared" si="2"/>
        <v>-276199.31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--4794.04</f>
        <v>4794.04</v>
      </c>
      <c r="I29" s="3"/>
      <c r="J29" s="20"/>
      <c r="K29" s="3"/>
      <c r="L29" s="3">
        <f t="shared" si="0"/>
        <v>-4794.04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--78994.92</f>
        <v>78994.92</v>
      </c>
      <c r="U29" s="3"/>
      <c r="V29" s="20"/>
      <c r="W29" s="3"/>
      <c r="X29" s="3">
        <f t="shared" si="2"/>
        <v>-78994.92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--6195.85</f>
        <v>6195.85</v>
      </c>
      <c r="I30" s="3"/>
      <c r="J30" s="20"/>
      <c r="K30" s="3"/>
      <c r="L30" s="3">
        <f t="shared" si="0"/>
        <v>-6195.85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--124150.66</f>
        <v>124150.66</v>
      </c>
      <c r="U30" s="3"/>
      <c r="V30" s="20"/>
      <c r="W30" s="3"/>
      <c r="X30" s="3">
        <f t="shared" si="2"/>
        <v>-124150.66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--2036.78</f>
        <v>2036.78</v>
      </c>
      <c r="I31" s="3"/>
      <c r="J31" s="20"/>
      <c r="K31" s="3"/>
      <c r="L31" s="3">
        <f t="shared" si="0"/>
        <v>-2036.78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--29572.4</f>
        <v>29572.400000000001</v>
      </c>
      <c r="U31" s="3"/>
      <c r="V31" s="20"/>
      <c r="W31" s="3"/>
      <c r="X31" s="3">
        <f t="shared" si="2"/>
        <v>-29572.400000000001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--10039.9</f>
        <v>10039.9</v>
      </c>
      <c r="I32" s="3"/>
      <c r="J32" s="20"/>
      <c r="K32" s="3"/>
      <c r="L32" s="3">
        <f t="shared" si="0"/>
        <v>-10039.9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--135489.57</f>
        <v>135489.57</v>
      </c>
      <c r="U32" s="3"/>
      <c r="V32" s="20"/>
      <c r="W32" s="3"/>
      <c r="X32" s="3">
        <f t="shared" si="2"/>
        <v>-135489.57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--56330.93</f>
        <v>56330.93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56330.93</v>
      </c>
      <c r="M33" s="3"/>
      <c r="N33" s="20">
        <f t="shared" si="1"/>
        <v>0</v>
      </c>
      <c r="O33" s="12"/>
      <c r="P33" s="3">
        <f>--205690.29</f>
        <v>205690.29</v>
      </c>
      <c r="Q33" s="3"/>
      <c r="R33" s="20"/>
      <c r="S33" s="3"/>
      <c r="T33" s="3">
        <f>--22964.48</f>
        <v>22964.48</v>
      </c>
      <c r="U33" s="3"/>
      <c r="V33" s="20"/>
      <c r="W33" s="3"/>
      <c r="X33" s="3">
        <f t="shared" si="2"/>
        <v>182725.81</v>
      </c>
      <c r="Y33" s="3"/>
      <c r="Z33" s="20">
        <f t="shared" si="3"/>
        <v>7.9568886384538207</v>
      </c>
    </row>
    <row r="34" spans="1:26" s="69" customFormat="1" ht="15" hidden="1" customHeight="1" outlineLevel="1" x14ac:dyDescent="0.3">
      <c r="A34" s="42"/>
      <c r="B34" s="12" t="str">
        <f>CONCATENATE("          ","4052"," - ","TAXABLE SALES-FOOD")</f>
        <v xml:space="preserve">          4052 - TAXABLE SALES-FOOD</v>
      </c>
      <c r="C34" s="12"/>
      <c r="D34" s="3">
        <f>0</f>
        <v>0</v>
      </c>
      <c r="E34" s="3"/>
      <c r="F34" s="20"/>
      <c r="G34" s="3"/>
      <c r="H34" s="3">
        <f>--49980.95</f>
        <v>49980.95</v>
      </c>
      <c r="I34" s="3"/>
      <c r="J34" s="20"/>
      <c r="K34" s="3"/>
      <c r="L34" s="3">
        <f t="shared" si="0"/>
        <v>-49980.95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--280157.8</f>
        <v>280157.8</v>
      </c>
      <c r="U34" s="3"/>
      <c r="V34" s="20"/>
      <c r="W34" s="3"/>
      <c r="X34" s="3">
        <f t="shared" si="2"/>
        <v>-280157.8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","4053"," - ","TAXABLE SALES-FOOD")</f>
        <v xml:space="preserve">          4053 - TAXABLE SALES-FOOD</v>
      </c>
      <c r="C35" s="12"/>
      <c r="D35" s="3">
        <f>--6171.55</f>
        <v>6171.55</v>
      </c>
      <c r="E35" s="3"/>
      <c r="F35" s="20"/>
      <c r="G35" s="3"/>
      <c r="H35" s="3">
        <f>--180.69</f>
        <v>180.69</v>
      </c>
      <c r="I35" s="3"/>
      <c r="J35" s="20"/>
      <c r="K35" s="3"/>
      <c r="L35" s="3">
        <f t="shared" si="0"/>
        <v>5990.8600000000006</v>
      </c>
      <c r="M35" s="3"/>
      <c r="N35" s="20">
        <f t="shared" si="1"/>
        <v>33.155459626985447</v>
      </c>
      <c r="O35" s="12"/>
      <c r="P35" s="3">
        <f>--18346.7</f>
        <v>18346.7</v>
      </c>
      <c r="Q35" s="3"/>
      <c r="R35" s="20"/>
      <c r="S35" s="3"/>
      <c r="T35" s="3">
        <f>--760.21</f>
        <v>760.21</v>
      </c>
      <c r="U35" s="3"/>
      <c r="V35" s="20"/>
      <c r="W35" s="3"/>
      <c r="X35" s="3">
        <f t="shared" si="2"/>
        <v>17586.490000000002</v>
      </c>
      <c r="Y35" s="3"/>
      <c r="Z35" s="20">
        <f t="shared" si="3"/>
        <v>23.133726207232215</v>
      </c>
    </row>
    <row r="36" spans="1:26" s="69" customFormat="1" ht="15" hidden="1" customHeight="1" outlineLevel="1" x14ac:dyDescent="0.3">
      <c r="A36" s="42"/>
      <c r="B36" s="12" t="str">
        <f>CONCATENATE("          ","4058"," - ","TAXABLE SALES-FOOD")</f>
        <v xml:space="preserve">          4058 - TAXABLE SALES-FOOD</v>
      </c>
      <c r="C36" s="12"/>
      <c r="D36" s="3">
        <f>0</f>
        <v>0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0</v>
      </c>
      <c r="M36" s="3"/>
      <c r="N36" s="20">
        <f t="shared" si="1"/>
        <v>0</v>
      </c>
      <c r="O36" s="12"/>
      <c r="P36" s="3">
        <f>0</f>
        <v>0</v>
      </c>
      <c r="Q36" s="3"/>
      <c r="R36" s="20"/>
      <c r="S36" s="3"/>
      <c r="T36" s="3">
        <f>--974.91</f>
        <v>974.91</v>
      </c>
      <c r="U36" s="3"/>
      <c r="V36" s="20"/>
      <c r="W36" s="3"/>
      <c r="X36" s="3">
        <f t="shared" si="2"/>
        <v>-974.91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","4081"," - ","TAXABLE SALES-ELECTRONICS")</f>
        <v xml:space="preserve">          4081 - TAXABLE SALES-ELECTRONICS</v>
      </c>
      <c r="C37" s="12"/>
      <c r="D37" s="3">
        <f>0</f>
        <v>0</v>
      </c>
      <c r="E37" s="3"/>
      <c r="F37" s="20"/>
      <c r="G37" s="3"/>
      <c r="H37" s="3">
        <f>--64.79</f>
        <v>64.790000000000006</v>
      </c>
      <c r="I37" s="3"/>
      <c r="J37" s="20"/>
      <c r="K37" s="3"/>
      <c r="L37" s="3">
        <f t="shared" si="0"/>
        <v>-64.790000000000006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--59334.8</f>
        <v>59334.8</v>
      </c>
      <c r="U37" s="3"/>
      <c r="V37" s="20"/>
      <c r="W37" s="3"/>
      <c r="X37" s="3">
        <f t="shared" si="2"/>
        <v>-59334.8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","4082"," - ","TAXABLE SALES-COMPUTER HARDWAR")</f>
        <v xml:space="preserve">          4082 - TAXABLE SALES-COMPUTER HARDWAR</v>
      </c>
      <c r="C38" s="12"/>
      <c r="D38" s="3">
        <f>0</f>
        <v>0</v>
      </c>
      <c r="E38" s="3"/>
      <c r="F38" s="20"/>
      <c r="G38" s="3"/>
      <c r="H38" s="3">
        <f>--165815.3</f>
        <v>165815.29999999999</v>
      </c>
      <c r="I38" s="3"/>
      <c r="J38" s="20"/>
      <c r="K38" s="3"/>
      <c r="L38" s="3">
        <f t="shared" si="0"/>
        <v>-165815.29999999999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--1250838.47</f>
        <v>1250838.47</v>
      </c>
      <c r="U38" s="3"/>
      <c r="V38" s="20"/>
      <c r="W38" s="3"/>
      <c r="X38" s="3">
        <f t="shared" si="2"/>
        <v>-1250838.47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","4083"," - ","TAXABLE SALES-COMPUTER EQUIPME")</f>
        <v xml:space="preserve">          4083 - TAXABLE SALES-COMPUTER EQUIPME</v>
      </c>
      <c r="C39" s="12"/>
      <c r="D39" s="3">
        <f>0</f>
        <v>0</v>
      </c>
      <c r="E39" s="3"/>
      <c r="F39" s="20"/>
      <c r="G39" s="3"/>
      <c r="H39" s="3">
        <f>--3521.24</f>
        <v>3521.24</v>
      </c>
      <c r="I39" s="3"/>
      <c r="J39" s="20"/>
      <c r="K39" s="3"/>
      <c r="L39" s="3">
        <f t="shared" si="0"/>
        <v>-3521.24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--96808.82</f>
        <v>96808.82</v>
      </c>
      <c r="U39" s="3"/>
      <c r="V39" s="20"/>
      <c r="W39" s="3"/>
      <c r="X39" s="3">
        <f t="shared" si="2"/>
        <v>-96808.82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","4085"," - ","TAXABLE SALES-SOFTWARE")</f>
        <v xml:space="preserve">          4085 - TAXABLE SALES-SOFTWARE</v>
      </c>
      <c r="C40" s="12"/>
      <c r="D40" s="3">
        <f>0</f>
        <v>0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0</v>
      </c>
      <c r="M40" s="3"/>
      <c r="N40" s="20">
        <f t="shared" si="1"/>
        <v>0</v>
      </c>
      <c r="O40" s="12"/>
      <c r="P40" s="3">
        <f>0</f>
        <v>0</v>
      </c>
      <c r="Q40" s="3"/>
      <c r="R40" s="20"/>
      <c r="S40" s="3"/>
      <c r="T40" s="3">
        <f>--2878.93</f>
        <v>2878.93</v>
      </c>
      <c r="U40" s="3"/>
      <c r="V40" s="20"/>
      <c r="W40" s="3"/>
      <c r="X40" s="3">
        <f t="shared" si="2"/>
        <v>-2878.93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","4086"," - ","TAXABLE SALES-COMPUTER SUPPLIE")</f>
        <v xml:space="preserve">          4086 - TAXABLE SALES-COMPUTER SUPPLIE</v>
      </c>
      <c r="C41" s="12"/>
      <c r="D41" s="3">
        <f>0</f>
        <v>0</v>
      </c>
      <c r="E41" s="3"/>
      <c r="F41" s="20"/>
      <c r="G41" s="3"/>
      <c r="H41" s="3">
        <f>--1077.33</f>
        <v>1077.33</v>
      </c>
      <c r="I41" s="3"/>
      <c r="J41" s="20"/>
      <c r="K41" s="3"/>
      <c r="L41" s="3">
        <f t="shared" si="0"/>
        <v>-1077.33</v>
      </c>
      <c r="M41" s="3"/>
      <c r="N41" s="20">
        <f t="shared" si="1"/>
        <v>-1</v>
      </c>
      <c r="O41" s="12"/>
      <c r="P41" s="3">
        <f>0</f>
        <v>0</v>
      </c>
      <c r="Q41" s="3"/>
      <c r="R41" s="20"/>
      <c r="S41" s="3"/>
      <c r="T41" s="3">
        <f>--58947.17</f>
        <v>58947.17</v>
      </c>
      <c r="U41" s="3"/>
      <c r="V41" s="20"/>
      <c r="W41" s="3"/>
      <c r="X41" s="3">
        <f t="shared" si="2"/>
        <v>-58947.17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","4095"," - ","TAXABLE SALES-CUSTOMER SERVICE")</f>
        <v xml:space="preserve">          4095 - TAXABLE SALES-CUSTOMER SERVICE</v>
      </c>
      <c r="C42" s="12"/>
      <c r="D42" s="3">
        <f>0</f>
        <v>0</v>
      </c>
      <c r="E42" s="3"/>
      <c r="F42" s="20"/>
      <c r="G42" s="3"/>
      <c r="H42" s="3">
        <f>--139.85</f>
        <v>139.85</v>
      </c>
      <c r="I42" s="3"/>
      <c r="J42" s="20"/>
      <c r="K42" s="3"/>
      <c r="L42" s="3">
        <f t="shared" si="0"/>
        <v>-139.85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--139.85</f>
        <v>139.85</v>
      </c>
      <c r="U42" s="3"/>
      <c r="V42" s="20"/>
      <c r="W42" s="3"/>
      <c r="X42" s="3">
        <f t="shared" si="2"/>
        <v>-139.85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","4100"," - ","NON-TAXABLE SALES")</f>
        <v xml:space="preserve">          4100 - NON-TAXABLE SALES</v>
      </c>
      <c r="C43" s="12"/>
      <c r="D43" s="3">
        <f>--337738.85</f>
        <v>337738.85</v>
      </c>
      <c r="E43" s="3"/>
      <c r="F43" s="20"/>
      <c r="G43" s="3"/>
      <c r="H43" s="3">
        <f>--28215.7</f>
        <v>28215.7</v>
      </c>
      <c r="I43" s="3"/>
      <c r="J43" s="20"/>
      <c r="K43" s="3"/>
      <c r="L43" s="3">
        <f t="shared" si="0"/>
        <v>309523.14999999997</v>
      </c>
      <c r="M43" s="3"/>
      <c r="N43" s="20">
        <f t="shared" si="1"/>
        <v>10.96989087635607</v>
      </c>
      <c r="O43" s="12"/>
      <c r="P43" s="3">
        <f>--1989613.04</f>
        <v>1989613.04</v>
      </c>
      <c r="Q43" s="3"/>
      <c r="R43" s="20"/>
      <c r="S43" s="3"/>
      <c r="T43" s="3">
        <f>--676427.56</f>
        <v>676427.56</v>
      </c>
      <c r="U43" s="3"/>
      <c r="V43" s="20"/>
      <c r="W43" s="3"/>
      <c r="X43" s="3">
        <f t="shared" si="2"/>
        <v>1313185.48</v>
      </c>
      <c r="Y43" s="3"/>
      <c r="Z43" s="20">
        <f t="shared" si="3"/>
        <v>1.9413541931969771</v>
      </c>
    </row>
    <row r="44" spans="1:26" s="69" customFormat="1" ht="15" hidden="1" customHeight="1" outlineLevel="1" x14ac:dyDescent="0.3">
      <c r="A44" s="42"/>
      <c r="B44" s="12" t="str">
        <f>CONCATENATE("          ","4101"," - ","NON-TAXABLE SALES-NEW TEXT")</f>
        <v xml:space="preserve">          4101 - NON-TAXABLE SALES-NEW TEXT</v>
      </c>
      <c r="C44" s="12"/>
      <c r="D44" s="3">
        <f>0</f>
        <v>0</v>
      </c>
      <c r="E44" s="3"/>
      <c r="F44" s="20"/>
      <c r="G44" s="3"/>
      <c r="H44" s="3">
        <f>--6785.91</f>
        <v>6785.91</v>
      </c>
      <c r="I44" s="3"/>
      <c r="J44" s="20"/>
      <c r="K44" s="3"/>
      <c r="L44" s="3">
        <f t="shared" ref="L44:L75" si="4">+D44-H44</f>
        <v>-6785.91</v>
      </c>
      <c r="M44" s="3"/>
      <c r="N44" s="20">
        <f t="shared" ref="N44:N75" si="5">IF(H44=0,0,L44/H44)</f>
        <v>-1</v>
      </c>
      <c r="O44" s="12"/>
      <c r="P44" s="3">
        <f>0</f>
        <v>0</v>
      </c>
      <c r="Q44" s="3"/>
      <c r="R44" s="20"/>
      <c r="S44" s="3"/>
      <c r="T44" s="3">
        <f>--111011.54</f>
        <v>111011.54</v>
      </c>
      <c r="U44" s="3"/>
      <c r="V44" s="20"/>
      <c r="W44" s="3"/>
      <c r="X44" s="3">
        <f t="shared" ref="X44:X75" si="6">+P44-T44</f>
        <v>-111011.54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","4102"," - ","NON-TAXABLE SALES-USED TEXT")</f>
        <v xml:space="preserve">          4102 - NON-TAXABLE SALES-USED TEXT</v>
      </c>
      <c r="C45" s="12"/>
      <c r="D45" s="3">
        <f>0</f>
        <v>0</v>
      </c>
      <c r="E45" s="3"/>
      <c r="F45" s="20"/>
      <c r="G45" s="3"/>
      <c r="H45" s="3">
        <f>--3426.05</f>
        <v>3426.05</v>
      </c>
      <c r="I45" s="3"/>
      <c r="J45" s="20"/>
      <c r="K45" s="3"/>
      <c r="L45" s="3">
        <f t="shared" si="4"/>
        <v>-3426.05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--46387.37</f>
        <v>46387.37</v>
      </c>
      <c r="U45" s="3"/>
      <c r="V45" s="20"/>
      <c r="W45" s="3"/>
      <c r="X45" s="3">
        <f t="shared" si="6"/>
        <v>-46387.37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","4103"," - ","NON-TAXABLE SALES-RENTAL TEXT")</f>
        <v xml:space="preserve">          4103 - NON-TAXABLE SALES-RENTAL TEXT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4"/>
        <v>0</v>
      </c>
      <c r="M46" s="3"/>
      <c r="N46" s="20">
        <f t="shared" si="5"/>
        <v>0</v>
      </c>
      <c r="O46" s="12"/>
      <c r="P46" s="3">
        <f>0</f>
        <v>0</v>
      </c>
      <c r="Q46" s="3"/>
      <c r="R46" s="20"/>
      <c r="S46" s="3"/>
      <c r="T46" s="3">
        <f>--1138.95</f>
        <v>1138.95</v>
      </c>
      <c r="U46" s="3"/>
      <c r="V46" s="20"/>
      <c r="W46" s="3"/>
      <c r="X46" s="3">
        <f t="shared" si="6"/>
        <v>-1138.95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","4104"," - ","NON-TAXABLE SALES-DIGITAL TEXT")</f>
        <v xml:space="preserve">          4104 - NON-TAXABLE SALES-DIGITAL TEXT</v>
      </c>
      <c r="C47" s="12"/>
      <c r="D47" s="3">
        <f>0</f>
        <v>0</v>
      </c>
      <c r="E47" s="3"/>
      <c r="F47" s="20"/>
      <c r="G47" s="3"/>
      <c r="H47" s="3">
        <f>--17705.92</f>
        <v>17705.919999999998</v>
      </c>
      <c r="I47" s="3"/>
      <c r="J47" s="20"/>
      <c r="K47" s="3"/>
      <c r="L47" s="3">
        <f t="shared" si="4"/>
        <v>-17705.919999999998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--475874.05</f>
        <v>475874.05</v>
      </c>
      <c r="U47" s="3"/>
      <c r="V47" s="20"/>
      <c r="W47" s="3"/>
      <c r="X47" s="3">
        <f t="shared" si="6"/>
        <v>-475874.05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","4113"," - ","NON-TAXABLE SALES-TRADE BOOKS")</f>
        <v xml:space="preserve">          4113 - NON-TAXABLE SALES-TRADE BOOKS</v>
      </c>
      <c r="C48" s="12"/>
      <c r="D48" s="3">
        <f>0</f>
        <v>0</v>
      </c>
      <c r="E48" s="3"/>
      <c r="F48" s="20"/>
      <c r="G48" s="3"/>
      <c r="H48" s="3">
        <f>--3150</f>
        <v>3150</v>
      </c>
      <c r="I48" s="3"/>
      <c r="J48" s="20"/>
      <c r="K48" s="3"/>
      <c r="L48" s="3">
        <f t="shared" si="4"/>
        <v>-3150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--10139.25</f>
        <v>10139.25</v>
      </c>
      <c r="U48" s="3"/>
      <c r="V48" s="20"/>
      <c r="W48" s="3"/>
      <c r="X48" s="3">
        <f t="shared" si="6"/>
        <v>-10139.25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","4118"," - ","NON-TAXABLE SALES-STUDY GUIDES")</f>
        <v xml:space="preserve">          4118 - NON-TAXABLE SALES-STUDY GUIDES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--771.73</f>
        <v>771.73</v>
      </c>
      <c r="U49" s="3"/>
      <c r="V49" s="20"/>
      <c r="W49" s="3"/>
      <c r="X49" s="3">
        <f t="shared" si="6"/>
        <v>-771.73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","4126"," - ","NON-TAXABLE SALES-WRITING INST")</f>
        <v xml:space="preserve">          4126 - NON-TAXABLE SALES-WRITING INST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--52.68</f>
        <v>52.68</v>
      </c>
      <c r="U50" s="3"/>
      <c r="V50" s="20"/>
      <c r="W50" s="3"/>
      <c r="X50" s="3">
        <f t="shared" si="6"/>
        <v>-52.68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","4127"," - ","NON-TAXABLE SALES-SCHOOL SUPPL")</f>
        <v xml:space="preserve">          4127 - NON-TAXABLE SALES-SCHOOL SUPPL</v>
      </c>
      <c r="C51" s="12"/>
      <c r="D51" s="3">
        <f>0</f>
        <v>0</v>
      </c>
      <c r="E51" s="3"/>
      <c r="F51" s="20"/>
      <c r="G51" s="3"/>
      <c r="H51" s="3">
        <f>--472.19</f>
        <v>472.19</v>
      </c>
      <c r="I51" s="3"/>
      <c r="J51" s="20"/>
      <c r="K51" s="3"/>
      <c r="L51" s="3">
        <f t="shared" si="4"/>
        <v>-472.19</v>
      </c>
      <c r="M51" s="3"/>
      <c r="N51" s="20">
        <f t="shared" si="5"/>
        <v>-1</v>
      </c>
      <c r="O51" s="12"/>
      <c r="P51" s="3">
        <f>0</f>
        <v>0</v>
      </c>
      <c r="Q51" s="3"/>
      <c r="R51" s="20"/>
      <c r="S51" s="3"/>
      <c r="T51" s="3">
        <f>--6217.36</f>
        <v>6217.36</v>
      </c>
      <c r="U51" s="3"/>
      <c r="V51" s="20"/>
      <c r="W51" s="3"/>
      <c r="X51" s="3">
        <f t="shared" si="6"/>
        <v>-6217.36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","4128"," - ","NON-TAXABLE SALES-ART/TECH")</f>
        <v xml:space="preserve">          4128 - NON-TAXABLE SALES-ART/TECH</v>
      </c>
      <c r="C52" s="12"/>
      <c r="D52" s="3">
        <f>0</f>
        <v>0</v>
      </c>
      <c r="E52" s="3"/>
      <c r="F52" s="20"/>
      <c r="G52" s="3"/>
      <c r="H52" s="3">
        <f>--9.08</f>
        <v>9.08</v>
      </c>
      <c r="I52" s="3"/>
      <c r="J52" s="20"/>
      <c r="K52" s="3"/>
      <c r="L52" s="3">
        <f t="shared" si="4"/>
        <v>-9.08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--38.58</f>
        <v>38.58</v>
      </c>
      <c r="U52" s="3"/>
      <c r="V52" s="20"/>
      <c r="W52" s="3"/>
      <c r="X52" s="3">
        <f t="shared" si="6"/>
        <v>-38.58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","4131"," - ","NON-TAXABLE SALES-FOOD")</f>
        <v xml:space="preserve">          4131 - NON-TAXABLE SALES-FOOD</v>
      </c>
      <c r="C53" s="12"/>
      <c r="D53" s="3">
        <f>0</f>
        <v>0</v>
      </c>
      <c r="E53" s="3"/>
      <c r="F53" s="20"/>
      <c r="G53" s="3"/>
      <c r="H53" s="3">
        <f>--934.88</f>
        <v>934.88</v>
      </c>
      <c r="I53" s="3"/>
      <c r="J53" s="20"/>
      <c r="K53" s="3"/>
      <c r="L53" s="3">
        <f t="shared" si="4"/>
        <v>-934.88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--9575.15</f>
        <v>9575.15</v>
      </c>
      <c r="U53" s="3"/>
      <c r="V53" s="20"/>
      <c r="W53" s="3"/>
      <c r="X53" s="3">
        <f t="shared" si="6"/>
        <v>-9575.15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","4132"," - ","NON-TAXABLE SALES-JUICE")</f>
        <v xml:space="preserve">          4132 - NON-TAXABLE SALES-JUICE</v>
      </c>
      <c r="C54" s="12"/>
      <c r="D54" s="3">
        <f>0</f>
        <v>0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4"/>
        <v>0</v>
      </c>
      <c r="M54" s="3"/>
      <c r="N54" s="20">
        <f t="shared" si="5"/>
        <v>0</v>
      </c>
      <c r="O54" s="12"/>
      <c r="P54" s="3">
        <f>0</f>
        <v>0</v>
      </c>
      <c r="Q54" s="3"/>
      <c r="R54" s="20"/>
      <c r="S54" s="3"/>
      <c r="T54" s="3">
        <f>--2054.37</f>
        <v>2054.37</v>
      </c>
      <c r="U54" s="3"/>
      <c r="V54" s="20"/>
      <c r="W54" s="3"/>
      <c r="X54" s="3">
        <f t="shared" si="6"/>
        <v>-2054.37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","4133"," - ","NON-TAXABLE SALES-CANDY")</f>
        <v xml:space="preserve">          4133 - NON-TAXABLE SALES-CANDY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--80.71</f>
        <v>80.709999999999994</v>
      </c>
      <c r="U55" s="3"/>
      <c r="V55" s="20"/>
      <c r="W55" s="3"/>
      <c r="X55" s="3">
        <f t="shared" si="6"/>
        <v>-80.709999999999994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","4134"," - ","NON-TAXABLE SALES-SODA")</f>
        <v xml:space="preserve">          4134 - NON-TAXABLE SALES-SODA</v>
      </c>
      <c r="C56" s="12"/>
      <c r="D56" s="3">
        <f>0</f>
        <v>0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4"/>
        <v>0</v>
      </c>
      <c r="M56" s="3"/>
      <c r="N56" s="20">
        <f t="shared" si="5"/>
        <v>0</v>
      </c>
      <c r="O56" s="12"/>
      <c r="P56" s="3">
        <f>0</f>
        <v>0</v>
      </c>
      <c r="Q56" s="3"/>
      <c r="R56" s="20"/>
      <c r="S56" s="3"/>
      <c r="T56" s="3">
        <f>--45.53</f>
        <v>45.53</v>
      </c>
      <c r="U56" s="3"/>
      <c r="V56" s="20"/>
      <c r="W56" s="3"/>
      <c r="X56" s="3">
        <f t="shared" si="6"/>
        <v>-45.53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","4137"," - ","NON-TAXABLE SALES-WATER")</f>
        <v xml:space="preserve">          4137 - NON-TAXABLE SALES-WATER</v>
      </c>
      <c r="C57" s="12"/>
      <c r="D57" s="3">
        <f>0</f>
        <v>0</v>
      </c>
      <c r="E57" s="3"/>
      <c r="F57" s="20"/>
      <c r="G57" s="3"/>
      <c r="H57" s="3">
        <f>0</f>
        <v>0</v>
      </c>
      <c r="I57" s="3"/>
      <c r="J57" s="20"/>
      <c r="K57" s="3"/>
      <c r="L57" s="3">
        <f t="shared" si="4"/>
        <v>0</v>
      </c>
      <c r="M57" s="3"/>
      <c r="N57" s="20">
        <f t="shared" si="5"/>
        <v>0</v>
      </c>
      <c r="O57" s="12"/>
      <c r="P57" s="3">
        <f>0</f>
        <v>0</v>
      </c>
      <c r="Q57" s="3"/>
      <c r="R57" s="20"/>
      <c r="S57" s="3"/>
      <c r="T57" s="3">
        <f>--68.25</f>
        <v>68.25</v>
      </c>
      <c r="U57" s="3"/>
      <c r="V57" s="20"/>
      <c r="W57" s="3"/>
      <c r="X57" s="3">
        <f t="shared" si="6"/>
        <v>-68.25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","4140"," - ","NON-TAXABLE SALES-LOGO CLOTHIN")</f>
        <v xml:space="preserve">          4140 - NON-TAXABLE SALES-LOGO CLOTHIN</v>
      </c>
      <c r="C58" s="12"/>
      <c r="D58" s="3">
        <f>0</f>
        <v>0</v>
      </c>
      <c r="E58" s="3"/>
      <c r="F58" s="20"/>
      <c r="G58" s="3"/>
      <c r="H58" s="3">
        <f>--1947.86</f>
        <v>1947.86</v>
      </c>
      <c r="I58" s="3"/>
      <c r="J58" s="20"/>
      <c r="K58" s="3"/>
      <c r="L58" s="3">
        <f t="shared" si="4"/>
        <v>-1947.86</v>
      </c>
      <c r="M58" s="3"/>
      <c r="N58" s="20">
        <f t="shared" si="5"/>
        <v>-1</v>
      </c>
      <c r="O58" s="12"/>
      <c r="P58" s="3">
        <f>0</f>
        <v>0</v>
      </c>
      <c r="Q58" s="3"/>
      <c r="R58" s="20"/>
      <c r="S58" s="3"/>
      <c r="T58" s="3">
        <f>--115125.28</f>
        <v>115125.28</v>
      </c>
      <c r="U58" s="3"/>
      <c r="V58" s="20"/>
      <c r="W58" s="3"/>
      <c r="X58" s="3">
        <f t="shared" si="6"/>
        <v>-115125.28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","4141"," - ","NON-TAXABLE SALES-LOGO GIFTS")</f>
        <v xml:space="preserve">          4141 - NON-TAXABLE SALES-LOGO GIFTS</v>
      </c>
      <c r="C59" s="12"/>
      <c r="D59" s="3">
        <f>0</f>
        <v>0</v>
      </c>
      <c r="E59" s="3"/>
      <c r="F59" s="20"/>
      <c r="G59" s="3"/>
      <c r="H59" s="3">
        <f>--671.25</f>
        <v>671.25</v>
      </c>
      <c r="I59" s="3"/>
      <c r="J59" s="20"/>
      <c r="K59" s="3"/>
      <c r="L59" s="3">
        <f t="shared" si="4"/>
        <v>-671.25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--8513.02</f>
        <v>8513.02</v>
      </c>
      <c r="U59" s="3"/>
      <c r="V59" s="20"/>
      <c r="W59" s="3"/>
      <c r="X59" s="3">
        <f t="shared" si="6"/>
        <v>-8513.02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","4142"," - ","NON-TAXABLE SALES-EVERYDAY GIF")</f>
        <v xml:space="preserve">          4142 - NON-TAXABLE SALES-EVERYDAY GIF</v>
      </c>
      <c r="C60" s="12"/>
      <c r="D60" s="3">
        <f>0</f>
        <v>0</v>
      </c>
      <c r="E60" s="3"/>
      <c r="F60" s="20"/>
      <c r="G60" s="3"/>
      <c r="H60" s="3">
        <f>--4.58</f>
        <v>4.58</v>
      </c>
      <c r="I60" s="3"/>
      <c r="J60" s="20"/>
      <c r="K60" s="3"/>
      <c r="L60" s="3">
        <f t="shared" si="4"/>
        <v>-4.58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--2264.47</f>
        <v>2264.4699999999998</v>
      </c>
      <c r="U60" s="3"/>
      <c r="V60" s="20"/>
      <c r="W60" s="3"/>
      <c r="X60" s="3">
        <f t="shared" si="6"/>
        <v>-2264.4699999999998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","4143"," - ","NON-TAXABLE SALES-CARDS")</f>
        <v xml:space="preserve">          4143 - NON-TAXABLE SALES-CARDS</v>
      </c>
      <c r="C61" s="12"/>
      <c r="D61" s="3">
        <f>0</f>
        <v>0</v>
      </c>
      <c r="E61" s="3"/>
      <c r="F61" s="20"/>
      <c r="G61" s="3"/>
      <c r="H61" s="3">
        <f>--149.92</f>
        <v>149.91999999999999</v>
      </c>
      <c r="I61" s="3"/>
      <c r="J61" s="20"/>
      <c r="K61" s="3"/>
      <c r="L61" s="3">
        <f t="shared" si="4"/>
        <v>-149.91999999999999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--2119.66</f>
        <v>2119.66</v>
      </c>
      <c r="U61" s="3"/>
      <c r="V61" s="20"/>
      <c r="W61" s="3"/>
      <c r="X61" s="3">
        <f t="shared" si="6"/>
        <v>-2119.66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","4144"," - ","NON-TAXABLE SALES-ACCESSORIES")</f>
        <v xml:space="preserve">          4144 - NON-TAXABLE SALES-ACCESSORIES</v>
      </c>
      <c r="C62" s="12"/>
      <c r="D62" s="3">
        <f>0</f>
        <v>0</v>
      </c>
      <c r="E62" s="3"/>
      <c r="F62" s="20"/>
      <c r="G62" s="3"/>
      <c r="H62" s="3">
        <f>--39.95</f>
        <v>39.950000000000003</v>
      </c>
      <c r="I62" s="3"/>
      <c r="J62" s="20"/>
      <c r="K62" s="3"/>
      <c r="L62" s="3">
        <f t="shared" si="4"/>
        <v>-39.950000000000003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--649.35</f>
        <v>649.35</v>
      </c>
      <c r="U62" s="3"/>
      <c r="V62" s="20"/>
      <c r="W62" s="3"/>
      <c r="X62" s="3">
        <f t="shared" si="6"/>
        <v>-649.35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","4145"," - ","NON-TAXABLE SALES-SPECIAL ORDE")</f>
        <v xml:space="preserve">          4145 - NON-TAXABLE SALES-SPECIAL ORDE</v>
      </c>
      <c r="C63" s="12"/>
      <c r="D63" s="3">
        <f>0</f>
        <v>0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0</v>
      </c>
      <c r="M63" s="3"/>
      <c r="N63" s="20">
        <f t="shared" si="5"/>
        <v>0</v>
      </c>
      <c r="O63" s="12"/>
      <c r="P63" s="3">
        <f>0</f>
        <v>0</v>
      </c>
      <c r="Q63" s="3"/>
      <c r="R63" s="20"/>
      <c r="S63" s="3"/>
      <c r="T63" s="3">
        <f>--53716.09</f>
        <v>53716.09</v>
      </c>
      <c r="U63" s="3"/>
      <c r="V63" s="20"/>
      <c r="W63" s="3"/>
      <c r="X63" s="3">
        <f t="shared" si="6"/>
        <v>-53716.09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","4146"," - ","NON-TAXABLE SALES-COIN OP MACH")</f>
        <v xml:space="preserve">          4146 - NON-TAXABLE SALES-COIN OP MACH</v>
      </c>
      <c r="C64" s="12"/>
      <c r="D64" s="3">
        <f>0</f>
        <v>0</v>
      </c>
      <c r="E64" s="3"/>
      <c r="F64" s="20"/>
      <c r="G64" s="3"/>
      <c r="H64" s="3">
        <f>--67.8</f>
        <v>67.8</v>
      </c>
      <c r="I64" s="3"/>
      <c r="J64" s="20"/>
      <c r="K64" s="3"/>
      <c r="L64" s="3">
        <f t="shared" si="4"/>
        <v>-67.8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--208.4</f>
        <v>208.4</v>
      </c>
      <c r="U64" s="3"/>
      <c r="V64" s="20"/>
      <c r="W64" s="3"/>
      <c r="X64" s="3">
        <f t="shared" si="6"/>
        <v>-208.4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","4147"," - ","NON-TAXABLE SALES-MISC")</f>
        <v xml:space="preserve">          4147 - NON-TAXABLE SALES-MISC</v>
      </c>
      <c r="C65" s="12"/>
      <c r="D65" s="3">
        <f>0</f>
        <v>0</v>
      </c>
      <c r="E65" s="3"/>
      <c r="F65" s="20"/>
      <c r="G65" s="3"/>
      <c r="H65" s="3">
        <f>--17</f>
        <v>17</v>
      </c>
      <c r="I65" s="3"/>
      <c r="J65" s="20"/>
      <c r="K65" s="3"/>
      <c r="L65" s="3">
        <f t="shared" si="4"/>
        <v>-17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--132.5</f>
        <v>132.5</v>
      </c>
      <c r="U65" s="3"/>
      <c r="V65" s="20"/>
      <c r="W65" s="3"/>
      <c r="X65" s="3">
        <f t="shared" si="6"/>
        <v>-132.5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","4151"," - ","NON-TAXABLE SALES-FOOD")</f>
        <v xml:space="preserve">          4151 - NON-TAXABLE SALES-FOOD</v>
      </c>
      <c r="C66" s="12"/>
      <c r="D66" s="3">
        <f>--1525459.07</f>
        <v>1525459.07</v>
      </c>
      <c r="E66" s="3"/>
      <c r="F66" s="20"/>
      <c r="G66" s="3"/>
      <c r="H66" s="3">
        <f>--78596.26</f>
        <v>78596.259999999995</v>
      </c>
      <c r="I66" s="3"/>
      <c r="J66" s="20"/>
      <c r="K66" s="3"/>
      <c r="L66" s="3">
        <f t="shared" si="4"/>
        <v>1446862.81</v>
      </c>
      <c r="M66" s="3"/>
      <c r="N66" s="20">
        <f t="shared" si="5"/>
        <v>18.408799731692071</v>
      </c>
      <c r="O66" s="12"/>
      <c r="P66" s="3">
        <f>--8331859.48</f>
        <v>8331859.4800000004</v>
      </c>
      <c r="Q66" s="3"/>
      <c r="R66" s="20"/>
      <c r="S66" s="3"/>
      <c r="T66" s="3">
        <f>--742969.81</f>
        <v>742969.81</v>
      </c>
      <c r="U66" s="3"/>
      <c r="V66" s="20"/>
      <c r="W66" s="3"/>
      <c r="X66" s="3">
        <f t="shared" si="6"/>
        <v>7588889.6699999999</v>
      </c>
      <c r="Y66" s="3"/>
      <c r="Z66" s="20">
        <f t="shared" si="7"/>
        <v>10.214263847409896</v>
      </c>
    </row>
    <row r="67" spans="1:26" s="69" customFormat="1" ht="15" hidden="1" customHeight="1" outlineLevel="1" x14ac:dyDescent="0.3">
      <c r="A67" s="42"/>
      <c r="B67" s="12" t="str">
        <f>CONCATENATE("          ","4153"," - ","NON-TAXABLE SALES-FOOD")</f>
        <v xml:space="preserve">          4153 - NON-TAXABLE SALES-FOOD</v>
      </c>
      <c r="C67" s="12"/>
      <c r="D67" s="3">
        <f>--19305.96</f>
        <v>19305.96</v>
      </c>
      <c r="E67" s="3"/>
      <c r="F67" s="20"/>
      <c r="G67" s="3"/>
      <c r="H67" s="3">
        <f>--5999.41</f>
        <v>5999.41</v>
      </c>
      <c r="I67" s="3"/>
      <c r="J67" s="20"/>
      <c r="K67" s="3"/>
      <c r="L67" s="3">
        <f t="shared" si="4"/>
        <v>13306.55</v>
      </c>
      <c r="M67" s="3"/>
      <c r="N67" s="20">
        <f t="shared" si="5"/>
        <v>2.2179764343493775</v>
      </c>
      <c r="O67" s="12"/>
      <c r="P67" s="3">
        <f>--80787.28</f>
        <v>80787.28</v>
      </c>
      <c r="Q67" s="3"/>
      <c r="R67" s="20"/>
      <c r="S67" s="3"/>
      <c r="T67" s="3">
        <f>--38078.57</f>
        <v>38078.57</v>
      </c>
      <c r="U67" s="3"/>
      <c r="V67" s="20"/>
      <c r="W67" s="3"/>
      <c r="X67" s="3">
        <f t="shared" si="6"/>
        <v>42708.71</v>
      </c>
      <c r="Y67" s="3"/>
      <c r="Z67" s="20">
        <f t="shared" si="7"/>
        <v>1.1215943770997703</v>
      </c>
    </row>
    <row r="68" spans="1:26" s="69" customFormat="1" ht="15" hidden="1" customHeight="1" outlineLevel="1" x14ac:dyDescent="0.3">
      <c r="A68" s="42"/>
      <c r="B68" s="12" t="str">
        <f>CONCATENATE("          ","4181"," - ","NON-TAXABLE SALES-ELECTRONICS")</f>
        <v xml:space="preserve">          4181 - NON-TAXABLE SALES-ELECTRONICS</v>
      </c>
      <c r="C68" s="12"/>
      <c r="D68" s="3">
        <f>0</f>
        <v>0</v>
      </c>
      <c r="E68" s="3"/>
      <c r="F68" s="20"/>
      <c r="G68" s="3"/>
      <c r="H68" s="3">
        <f>--6619.94</f>
        <v>6619.94</v>
      </c>
      <c r="I68" s="3"/>
      <c r="J68" s="20"/>
      <c r="K68" s="3"/>
      <c r="L68" s="3">
        <f t="shared" si="4"/>
        <v>-6619.94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--12192.66</f>
        <v>12192.66</v>
      </c>
      <c r="U68" s="3"/>
      <c r="V68" s="20"/>
      <c r="W68" s="3"/>
      <c r="X68" s="3">
        <f t="shared" si="6"/>
        <v>-12192.66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","4182"," - ","NON-TAXABLE SALES-COMPUTER HAR")</f>
        <v xml:space="preserve">          4182 - NON-TAXABLE SALES-COMPUTER HAR</v>
      </c>
      <c r="C69" s="12"/>
      <c r="D69" s="3">
        <f>0</f>
        <v>0</v>
      </c>
      <c r="E69" s="3"/>
      <c r="F69" s="20"/>
      <c r="G69" s="3"/>
      <c r="H69" s="3">
        <f>--33247.79</f>
        <v>33247.79</v>
      </c>
      <c r="I69" s="3"/>
      <c r="J69" s="20"/>
      <c r="K69" s="3"/>
      <c r="L69" s="3">
        <f t="shared" si="4"/>
        <v>-33247.79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--219646.99</f>
        <v>219646.99</v>
      </c>
      <c r="U69" s="3"/>
      <c r="V69" s="20"/>
      <c r="W69" s="3"/>
      <c r="X69" s="3">
        <f t="shared" si="6"/>
        <v>-219646.99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","4183"," - ","NON-TAXABLE SALES-COMPUTER EQU")</f>
        <v xml:space="preserve">          4183 - NON-TAXABLE SALES-COMPUTER EQU</v>
      </c>
      <c r="C70" s="12"/>
      <c r="D70" s="3">
        <f>0</f>
        <v>0</v>
      </c>
      <c r="E70" s="3"/>
      <c r="F70" s="20"/>
      <c r="G70" s="3"/>
      <c r="H70" s="3">
        <f>--3104.68</f>
        <v>3104.68</v>
      </c>
      <c r="I70" s="3"/>
      <c r="J70" s="20"/>
      <c r="K70" s="3"/>
      <c r="L70" s="3">
        <f t="shared" si="4"/>
        <v>-3104.68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--13622.82</f>
        <v>13622.82</v>
      </c>
      <c r="U70" s="3"/>
      <c r="V70" s="20"/>
      <c r="W70" s="3"/>
      <c r="X70" s="3">
        <f t="shared" si="6"/>
        <v>-13622.82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","4185"," - ","NON-TAXABLE SALES-SOFTWARE")</f>
        <v xml:space="preserve">          4185 - NON-TAXABLE SALES-SOFTWARE</v>
      </c>
      <c r="C71" s="12"/>
      <c r="D71" s="3">
        <f>0</f>
        <v>0</v>
      </c>
      <c r="E71" s="3"/>
      <c r="F71" s="20"/>
      <c r="G71" s="3"/>
      <c r="H71" s="3">
        <f>--5296.67</f>
        <v>5296.67</v>
      </c>
      <c r="I71" s="3"/>
      <c r="J71" s="20"/>
      <c r="K71" s="3"/>
      <c r="L71" s="3">
        <f t="shared" si="4"/>
        <v>-5296.67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--35127.19</f>
        <v>35127.19</v>
      </c>
      <c r="U71" s="3"/>
      <c r="V71" s="20"/>
      <c r="W71" s="3"/>
      <c r="X71" s="3">
        <f t="shared" si="6"/>
        <v>-35127.19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","4186"," - ","NON-TAXABLE SALES-COMPUTER SUP")</f>
        <v xml:space="preserve">          4186 - NON-TAXABLE SALES-COMPUTER SUP</v>
      </c>
      <c r="C72" s="12"/>
      <c r="D72" s="3">
        <f>0</f>
        <v>0</v>
      </c>
      <c r="E72" s="3"/>
      <c r="F72" s="20"/>
      <c r="G72" s="3"/>
      <c r="H72" s="3">
        <f>--345.23</f>
        <v>345.23</v>
      </c>
      <c r="I72" s="3"/>
      <c r="J72" s="20"/>
      <c r="K72" s="3"/>
      <c r="L72" s="3">
        <f t="shared" si="4"/>
        <v>-345.23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--2830.26</f>
        <v>2830.26</v>
      </c>
      <c r="U72" s="3"/>
      <c r="V72" s="20"/>
      <c r="W72" s="3"/>
      <c r="X72" s="3">
        <f t="shared" si="6"/>
        <v>-2830.26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","4200"," - ","TAXABLE RETURNS")</f>
        <v xml:space="preserve">          4200 - TAXABLE RETURNS</v>
      </c>
      <c r="C73" s="12"/>
      <c r="D73" s="3">
        <f>-44012.96</f>
        <v>-44012.959999999999</v>
      </c>
      <c r="E73" s="3"/>
      <c r="F73" s="20"/>
      <c r="G73" s="3"/>
      <c r="H73" s="3">
        <f>0</f>
        <v>0</v>
      </c>
      <c r="I73" s="3"/>
      <c r="J73" s="20"/>
      <c r="K73" s="3"/>
      <c r="L73" s="3">
        <f t="shared" si="4"/>
        <v>-44012.959999999999</v>
      </c>
      <c r="M73" s="3"/>
      <c r="N73" s="20">
        <f t="shared" si="5"/>
        <v>0</v>
      </c>
      <c r="O73" s="12"/>
      <c r="P73" s="3">
        <f>-355572.43</f>
        <v>-355572.43</v>
      </c>
      <c r="Q73" s="3"/>
      <c r="R73" s="20"/>
      <c r="S73" s="3"/>
      <c r="T73" s="3">
        <f>0</f>
        <v>0</v>
      </c>
      <c r="U73" s="3"/>
      <c r="V73" s="20"/>
      <c r="W73" s="3"/>
      <c r="X73" s="3">
        <f t="shared" si="6"/>
        <v>-355572.43</v>
      </c>
      <c r="Y73" s="3"/>
      <c r="Z73" s="20">
        <f t="shared" si="7"/>
        <v>0</v>
      </c>
    </row>
    <row r="74" spans="1:26" s="69" customFormat="1" ht="15" hidden="1" customHeight="1" outlineLevel="1" x14ac:dyDescent="0.3">
      <c r="A74" s="42"/>
      <c r="B74" s="12" t="str">
        <f>CONCATENATE("          ","4201"," - ","SALES RETURN TAXABLE-NEW TEXT")</f>
        <v xml:space="preserve">          4201 - SALES RETURN TAXABLE-NEW TEXT</v>
      </c>
      <c r="C74" s="12"/>
      <c r="D74" s="3">
        <f>0</f>
        <v>0</v>
      </c>
      <c r="E74" s="3"/>
      <c r="F74" s="20"/>
      <c r="G74" s="3"/>
      <c r="H74" s="3">
        <f>-2146.49</f>
        <v>-2146.4899999999998</v>
      </c>
      <c r="I74" s="3"/>
      <c r="J74" s="20"/>
      <c r="K74" s="3"/>
      <c r="L74" s="3">
        <f t="shared" si="4"/>
        <v>2146.4899999999998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-50664.23</f>
        <v>-50664.23</v>
      </c>
      <c r="U74" s="3"/>
      <c r="V74" s="20"/>
      <c r="W74" s="3"/>
      <c r="X74" s="3">
        <f t="shared" si="6"/>
        <v>50664.23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","4202"," - ","SALES RETURN TAXABLE-USED TEXT")</f>
        <v xml:space="preserve">          4202 - SALES RETURN TAXABLE-USED TEXT</v>
      </c>
      <c r="C75" s="12"/>
      <c r="D75" s="3">
        <f>0</f>
        <v>0</v>
      </c>
      <c r="E75" s="3"/>
      <c r="F75" s="20"/>
      <c r="G75" s="3"/>
      <c r="H75" s="3">
        <f>-1199.21</f>
        <v>-1199.21</v>
      </c>
      <c r="I75" s="3"/>
      <c r="J75" s="20"/>
      <c r="K75" s="3"/>
      <c r="L75" s="3">
        <f t="shared" si="4"/>
        <v>1199.21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-19735.51</f>
        <v>-19735.509999999998</v>
      </c>
      <c r="U75" s="3"/>
      <c r="V75" s="20"/>
      <c r="W75" s="3"/>
      <c r="X75" s="3">
        <f t="shared" si="6"/>
        <v>19735.509999999998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","4204"," - ","SALES RETURN TAXABLE-DIGITAL T")</f>
        <v xml:space="preserve">          4204 - SALES RETURN TAXABLE-DIGITAL T</v>
      </c>
      <c r="C76" s="12"/>
      <c r="D76" s="3">
        <f>0</f>
        <v>0</v>
      </c>
      <c r="E76" s="3"/>
      <c r="F76" s="20"/>
      <c r="G76" s="3"/>
      <c r="H76" s="3">
        <f>-132.25</f>
        <v>-132.25</v>
      </c>
      <c r="I76" s="3"/>
      <c r="J76" s="20"/>
      <c r="K76" s="3"/>
      <c r="L76" s="3">
        <f t="shared" ref="L76:L100" si="8">+D76-H76</f>
        <v>132.25</v>
      </c>
      <c r="M76" s="3"/>
      <c r="N76" s="20">
        <f t="shared" ref="N76:N100" si="9">IF(H76=0,0,L76/H76)</f>
        <v>-1</v>
      </c>
      <c r="O76" s="12"/>
      <c r="P76" s="3">
        <f>0</f>
        <v>0</v>
      </c>
      <c r="Q76" s="3"/>
      <c r="R76" s="20"/>
      <c r="S76" s="3"/>
      <c r="T76" s="3">
        <f>-1763.1</f>
        <v>-1763.1</v>
      </c>
      <c r="U76" s="3"/>
      <c r="V76" s="20"/>
      <c r="W76" s="3"/>
      <c r="X76" s="3">
        <f t="shared" ref="X76:X100" si="10">+P76-T76</f>
        <v>1763.1</v>
      </c>
      <c r="Y76" s="3"/>
      <c r="Z76" s="20">
        <f t="shared" ref="Z76:Z100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","4213"," - ","NON-TAXABLE SALES-TRADE BOOKS")</f>
        <v xml:space="preserve">          4213 - NON-TAXABLE SALES-TRADE BOOKS</v>
      </c>
      <c r="C77" s="12"/>
      <c r="D77" s="3">
        <f>0</f>
        <v>0</v>
      </c>
      <c r="E77" s="3"/>
      <c r="F77" s="20"/>
      <c r="G77" s="3"/>
      <c r="H77" s="3">
        <f>-69.93</f>
        <v>-69.930000000000007</v>
      </c>
      <c r="I77" s="3"/>
      <c r="J77" s="20"/>
      <c r="K77" s="3"/>
      <c r="L77" s="3">
        <f t="shared" si="8"/>
        <v>69.930000000000007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-69.93</f>
        <v>-69.930000000000007</v>
      </c>
      <c r="U77" s="3"/>
      <c r="V77" s="20"/>
      <c r="W77" s="3"/>
      <c r="X77" s="3">
        <f t="shared" si="10"/>
        <v>69.930000000000007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","4226"," - ","SALES RETURN TAXABLE-WRITING I")</f>
        <v xml:space="preserve">          4226 - SALES RETURN TAXABLE-WRITING I</v>
      </c>
      <c r="C78" s="12"/>
      <c r="D78" s="3">
        <f>0</f>
        <v>0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8"/>
        <v>0</v>
      </c>
      <c r="M78" s="3"/>
      <c r="N78" s="20">
        <f t="shared" si="9"/>
        <v>0</v>
      </c>
      <c r="O78" s="12"/>
      <c r="P78" s="3">
        <f>0</f>
        <v>0</v>
      </c>
      <c r="Q78" s="3"/>
      <c r="R78" s="20"/>
      <c r="S78" s="3"/>
      <c r="T78" s="3">
        <f>-34.23</f>
        <v>-34.229999999999997</v>
      </c>
      <c r="U78" s="3"/>
      <c r="V78" s="20"/>
      <c r="W78" s="3"/>
      <c r="X78" s="3">
        <f t="shared" si="10"/>
        <v>34.229999999999997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","4227"," - ","SALES RETURN TAXABLE-SCHOOL SU")</f>
        <v xml:space="preserve">          4227 - SALES RETURN TAXABLE-SCHOOL SU</v>
      </c>
      <c r="C79" s="12"/>
      <c r="D79" s="3">
        <f>0</f>
        <v>0</v>
      </c>
      <c r="E79" s="3"/>
      <c r="F79" s="20"/>
      <c r="G79" s="3"/>
      <c r="H79" s="3">
        <f>-19.05</f>
        <v>-19.05</v>
      </c>
      <c r="I79" s="3"/>
      <c r="J79" s="20"/>
      <c r="K79" s="3"/>
      <c r="L79" s="3">
        <f t="shared" si="8"/>
        <v>19.05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-781.73</f>
        <v>-781.73</v>
      </c>
      <c r="U79" s="3"/>
      <c r="V79" s="20"/>
      <c r="W79" s="3"/>
      <c r="X79" s="3">
        <f t="shared" si="10"/>
        <v>781.73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","4228"," - ","SALES RETURN TAXABLE-ART/TECH")</f>
        <v xml:space="preserve">          4228 - SALES RETURN TAXABLE-ART/TECH</v>
      </c>
      <c r="C80" s="12"/>
      <c r="D80" s="3">
        <f>0</f>
        <v>0</v>
      </c>
      <c r="E80" s="3"/>
      <c r="F80" s="20"/>
      <c r="G80" s="3"/>
      <c r="H80" s="3">
        <f>-10.71</f>
        <v>-10.71</v>
      </c>
      <c r="I80" s="3"/>
      <c r="J80" s="20"/>
      <c r="K80" s="3"/>
      <c r="L80" s="3">
        <f t="shared" si="8"/>
        <v>10.71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-12739.24</f>
        <v>-12739.24</v>
      </c>
      <c r="U80" s="3"/>
      <c r="V80" s="20"/>
      <c r="W80" s="3"/>
      <c r="X80" s="3">
        <f t="shared" si="10"/>
        <v>12739.24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","4240"," - ","SALES RETURN TAXABLE-LOGO CLOT")</f>
        <v xml:space="preserve">          4240 - SALES RETURN TAXABLE-LOGO CLOT</v>
      </c>
      <c r="C81" s="12"/>
      <c r="D81" s="3">
        <f>0</f>
        <v>0</v>
      </c>
      <c r="E81" s="3"/>
      <c r="F81" s="20"/>
      <c r="G81" s="3"/>
      <c r="H81" s="3">
        <f>-3542.64</f>
        <v>-3542.64</v>
      </c>
      <c r="I81" s="3"/>
      <c r="J81" s="20"/>
      <c r="K81" s="3"/>
      <c r="L81" s="3">
        <f t="shared" si="8"/>
        <v>3542.64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-31129.51</f>
        <v>-31129.51</v>
      </c>
      <c r="U81" s="3"/>
      <c r="V81" s="20"/>
      <c r="W81" s="3"/>
      <c r="X81" s="3">
        <f t="shared" si="10"/>
        <v>31129.51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","4241"," - ","SALES RETURN TAXABLE-LOGO GIFT")</f>
        <v xml:space="preserve">          4241 - SALES RETURN TAXABLE-LOGO GIFT</v>
      </c>
      <c r="C82" s="12"/>
      <c r="D82" s="3">
        <f>0</f>
        <v>0</v>
      </c>
      <c r="E82" s="3"/>
      <c r="F82" s="20"/>
      <c r="G82" s="3"/>
      <c r="H82" s="3">
        <f>-338.05</f>
        <v>-338.05</v>
      </c>
      <c r="I82" s="3"/>
      <c r="J82" s="20"/>
      <c r="K82" s="3"/>
      <c r="L82" s="3">
        <f t="shared" si="8"/>
        <v>338.05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-5295.52</f>
        <v>-5295.52</v>
      </c>
      <c r="U82" s="3"/>
      <c r="V82" s="20"/>
      <c r="W82" s="3"/>
      <c r="X82" s="3">
        <f t="shared" si="10"/>
        <v>5295.52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","4242"," - ","SALES RETURN TAXABLE-EVERYDAY")</f>
        <v xml:space="preserve">          4242 - SALES RETURN TAXABLE-EVERYDAY</v>
      </c>
      <c r="C83" s="12"/>
      <c r="D83" s="3">
        <f>0</f>
        <v>0</v>
      </c>
      <c r="E83" s="3"/>
      <c r="F83" s="20"/>
      <c r="G83" s="3"/>
      <c r="H83" s="3">
        <f>-44.96</f>
        <v>-44.96</v>
      </c>
      <c r="I83" s="3"/>
      <c r="J83" s="20"/>
      <c r="K83" s="3"/>
      <c r="L83" s="3">
        <f t="shared" si="8"/>
        <v>44.96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-1738.74</f>
        <v>-1738.74</v>
      </c>
      <c r="U83" s="3"/>
      <c r="V83" s="20"/>
      <c r="W83" s="3"/>
      <c r="X83" s="3">
        <f t="shared" si="10"/>
        <v>1738.74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","4243"," - ","SALES RETURN TAXABLE-CARDS")</f>
        <v xml:space="preserve">          4243 - SALES RETURN TAXABLE-CARDS</v>
      </c>
      <c r="C84" s="12"/>
      <c r="D84" s="3">
        <f>0</f>
        <v>0</v>
      </c>
      <c r="E84" s="3"/>
      <c r="F84" s="20"/>
      <c r="G84" s="3"/>
      <c r="H84" s="3">
        <f>-369.81</f>
        <v>-369.81</v>
      </c>
      <c r="I84" s="3"/>
      <c r="J84" s="20"/>
      <c r="K84" s="3"/>
      <c r="L84" s="3">
        <f t="shared" si="8"/>
        <v>369.81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-5369.6</f>
        <v>-5369.6</v>
      </c>
      <c r="U84" s="3"/>
      <c r="V84" s="20"/>
      <c r="W84" s="3"/>
      <c r="X84" s="3">
        <f t="shared" si="10"/>
        <v>5369.6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","4244"," - ","SALES RETURN TAXABLE-ACCESSORI")</f>
        <v xml:space="preserve">          4244 - SALES RETURN TAXABLE-ACCESSORI</v>
      </c>
      <c r="C85" s="12"/>
      <c r="D85" s="3">
        <f>0</f>
        <v>0</v>
      </c>
      <c r="E85" s="3"/>
      <c r="F85" s="20"/>
      <c r="G85" s="3"/>
      <c r="H85" s="3">
        <f>-9.99</f>
        <v>-9.99</v>
      </c>
      <c r="I85" s="3"/>
      <c r="J85" s="20"/>
      <c r="K85" s="3"/>
      <c r="L85" s="3">
        <f t="shared" si="8"/>
        <v>9.99</v>
      </c>
      <c r="M85" s="3"/>
      <c r="N85" s="20">
        <f t="shared" si="9"/>
        <v>-1</v>
      </c>
      <c r="O85" s="12"/>
      <c r="P85" s="3">
        <f>0</f>
        <v>0</v>
      </c>
      <c r="Q85" s="3"/>
      <c r="R85" s="20"/>
      <c r="S85" s="3"/>
      <c r="T85" s="3">
        <f>-994.84</f>
        <v>-994.84</v>
      </c>
      <c r="U85" s="3"/>
      <c r="V85" s="20"/>
      <c r="W85" s="3"/>
      <c r="X85" s="3">
        <f t="shared" si="10"/>
        <v>994.84</v>
      </c>
      <c r="Y85" s="3"/>
      <c r="Z85" s="20">
        <f t="shared" si="11"/>
        <v>-1</v>
      </c>
    </row>
    <row r="86" spans="1:26" s="69" customFormat="1" ht="15" hidden="1" customHeight="1" outlineLevel="1" x14ac:dyDescent="0.3">
      <c r="A86" s="42"/>
      <c r="B86" s="12" t="str">
        <f>CONCATENATE("          ","4245"," - ","SALES RETURN TAXABLE-SPECIAL O")</f>
        <v xml:space="preserve">          4245 - SALES RETURN TAXABLE-SPECIAL O</v>
      </c>
      <c r="C86" s="12"/>
      <c r="D86" s="3">
        <f>0</f>
        <v>0</v>
      </c>
      <c r="E86" s="3"/>
      <c r="F86" s="20"/>
      <c r="G86" s="3"/>
      <c r="H86" s="3">
        <f>-7.98</f>
        <v>-7.98</v>
      </c>
      <c r="I86" s="3"/>
      <c r="J86" s="20"/>
      <c r="K86" s="3"/>
      <c r="L86" s="3">
        <f t="shared" si="8"/>
        <v>7.98</v>
      </c>
      <c r="M86" s="3"/>
      <c r="N86" s="20">
        <f t="shared" si="9"/>
        <v>-1</v>
      </c>
      <c r="O86" s="12"/>
      <c r="P86" s="3">
        <f>0</f>
        <v>0</v>
      </c>
      <c r="Q86" s="3"/>
      <c r="R86" s="20"/>
      <c r="S86" s="3"/>
      <c r="T86" s="3">
        <f>-11353.59</f>
        <v>-11353.59</v>
      </c>
      <c r="U86" s="3"/>
      <c r="V86" s="20"/>
      <c r="W86" s="3"/>
      <c r="X86" s="3">
        <f t="shared" si="10"/>
        <v>11353.59</v>
      </c>
      <c r="Y86" s="3"/>
      <c r="Z86" s="20">
        <f t="shared" si="11"/>
        <v>-1</v>
      </c>
    </row>
    <row r="87" spans="1:26" s="69" customFormat="1" ht="15" hidden="1" customHeight="1" outlineLevel="1" x14ac:dyDescent="0.3">
      <c r="A87" s="42"/>
      <c r="B87" s="12" t="str">
        <f>CONCATENATE("          ","4281"," - ","SALES RETURN TAXABLE-ELECTRONI")</f>
        <v xml:space="preserve">          4281 - SALES RETURN TAXABLE-ELECTRONI</v>
      </c>
      <c r="C87" s="12"/>
      <c r="D87" s="3">
        <f>0</f>
        <v>0</v>
      </c>
      <c r="E87" s="3"/>
      <c r="F87" s="20"/>
      <c r="G87" s="3"/>
      <c r="H87" s="3">
        <f>0</f>
        <v>0</v>
      </c>
      <c r="I87" s="3"/>
      <c r="J87" s="20"/>
      <c r="K87" s="3"/>
      <c r="L87" s="3">
        <f t="shared" si="8"/>
        <v>0</v>
      </c>
      <c r="M87" s="3"/>
      <c r="N87" s="20">
        <f t="shared" si="9"/>
        <v>0</v>
      </c>
      <c r="O87" s="12"/>
      <c r="P87" s="3">
        <f>0</f>
        <v>0</v>
      </c>
      <c r="Q87" s="3"/>
      <c r="R87" s="20"/>
      <c r="S87" s="3"/>
      <c r="T87" s="3">
        <f>-14762.14</f>
        <v>-14762.14</v>
      </c>
      <c r="U87" s="3"/>
      <c r="V87" s="20"/>
      <c r="W87" s="3"/>
      <c r="X87" s="3">
        <f t="shared" si="10"/>
        <v>14762.14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","4282"," - ","SALES RETURN TAXABLE-COMPUTER")</f>
        <v xml:space="preserve">          4282 - SALES RETURN TAXABLE-COMPUTER</v>
      </c>
      <c r="C88" s="12"/>
      <c r="D88" s="3">
        <f>0</f>
        <v>0</v>
      </c>
      <c r="E88" s="3"/>
      <c r="F88" s="20"/>
      <c r="G88" s="3"/>
      <c r="H88" s="3">
        <f>-32711.15</f>
        <v>-32711.15</v>
      </c>
      <c r="I88" s="3"/>
      <c r="J88" s="20"/>
      <c r="K88" s="3"/>
      <c r="L88" s="3">
        <f t="shared" si="8"/>
        <v>32711.15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-129628.16</f>
        <v>-129628.16</v>
      </c>
      <c r="U88" s="3"/>
      <c r="V88" s="20"/>
      <c r="W88" s="3"/>
      <c r="X88" s="3">
        <f t="shared" si="10"/>
        <v>129628.16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","4283"," - ","SALES RETURN TAXABLE-COMPUTER")</f>
        <v xml:space="preserve">          4283 - SALES RETURN TAXABLE-COMPUTER</v>
      </c>
      <c r="C89" s="12"/>
      <c r="D89" s="3">
        <f>0</f>
        <v>0</v>
      </c>
      <c r="E89" s="3"/>
      <c r="F89" s="20"/>
      <c r="G89" s="3"/>
      <c r="H89" s="3">
        <f>-212.99</f>
        <v>-212.99</v>
      </c>
      <c r="I89" s="3"/>
      <c r="J89" s="20"/>
      <c r="K89" s="3"/>
      <c r="L89" s="3">
        <f t="shared" si="8"/>
        <v>212.99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-3359.28</f>
        <v>-3359.28</v>
      </c>
      <c r="U89" s="3"/>
      <c r="V89" s="20"/>
      <c r="W89" s="3"/>
      <c r="X89" s="3">
        <f t="shared" si="10"/>
        <v>3359.28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","4285"," - ","SALES RETURN TAXABLE-SOFTWARE")</f>
        <v xml:space="preserve">          4285 - SALES RETURN TAXABLE-SOFTWARE</v>
      </c>
      <c r="C90" s="12"/>
      <c r="D90" s="3">
        <f>0</f>
        <v>0</v>
      </c>
      <c r="E90" s="3"/>
      <c r="F90" s="20"/>
      <c r="G90" s="3"/>
      <c r="H90" s="3">
        <f>-149.99</f>
        <v>-149.99</v>
      </c>
      <c r="I90" s="3"/>
      <c r="J90" s="20"/>
      <c r="K90" s="3"/>
      <c r="L90" s="3">
        <f t="shared" si="8"/>
        <v>149.99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-841.97</f>
        <v>-841.97</v>
      </c>
      <c r="U90" s="3"/>
      <c r="V90" s="20"/>
      <c r="W90" s="3"/>
      <c r="X90" s="3">
        <f t="shared" si="10"/>
        <v>841.97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","4286"," - ","SALES RETURN TAXABLE-COMPUTER")</f>
        <v xml:space="preserve">          4286 - SALES RETURN TAXABLE-COMPUTER</v>
      </c>
      <c r="C91" s="12"/>
      <c r="D91" s="3">
        <f>0</f>
        <v>0</v>
      </c>
      <c r="E91" s="3"/>
      <c r="F91" s="20"/>
      <c r="G91" s="3"/>
      <c r="H91" s="3">
        <f>-34.97</f>
        <v>-34.97</v>
      </c>
      <c r="I91" s="3"/>
      <c r="J91" s="20"/>
      <c r="K91" s="3"/>
      <c r="L91" s="3">
        <f t="shared" si="8"/>
        <v>34.97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-4762.31</f>
        <v>-4762.3100000000004</v>
      </c>
      <c r="U91" s="3"/>
      <c r="V91" s="20"/>
      <c r="W91" s="3"/>
      <c r="X91" s="3">
        <f t="shared" si="10"/>
        <v>4762.3100000000004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","4300"," - ","NON-TAX RETURNS")</f>
        <v xml:space="preserve">          4300 - NON-TAX RETURNS</v>
      </c>
      <c r="C92" s="12"/>
      <c r="D92" s="3">
        <f>-3582.86</f>
        <v>-3582.86</v>
      </c>
      <c r="E92" s="3"/>
      <c r="F92" s="20"/>
      <c r="G92" s="3"/>
      <c r="H92" s="3">
        <f>0</f>
        <v>0</v>
      </c>
      <c r="I92" s="3"/>
      <c r="J92" s="20"/>
      <c r="K92" s="3"/>
      <c r="L92" s="3">
        <f t="shared" si="8"/>
        <v>-3582.86</v>
      </c>
      <c r="M92" s="3"/>
      <c r="N92" s="20">
        <f t="shared" si="9"/>
        <v>0</v>
      </c>
      <c r="O92" s="12"/>
      <c r="P92" s="3">
        <f>-32361.72</f>
        <v>-32361.72</v>
      </c>
      <c r="Q92" s="3"/>
      <c r="R92" s="20"/>
      <c r="S92" s="3"/>
      <c r="T92" s="3">
        <f>0</f>
        <v>0</v>
      </c>
      <c r="U92" s="3"/>
      <c r="V92" s="20"/>
      <c r="W92" s="3"/>
      <c r="X92" s="3">
        <f t="shared" si="10"/>
        <v>-32361.72</v>
      </c>
      <c r="Y92" s="3"/>
      <c r="Z92" s="20">
        <f t="shared" si="11"/>
        <v>0</v>
      </c>
    </row>
    <row r="93" spans="1:26" s="69" customFormat="1" ht="15" hidden="1" customHeight="1" outlineLevel="1" x14ac:dyDescent="0.3">
      <c r="A93" s="42"/>
      <c r="B93" s="12" t="str">
        <f>CONCATENATE("          ","4301"," - ","SALES RETURN NON TAXABLE-NEW T")</f>
        <v xml:space="preserve">          4301 - SALES RETURN NON TAXABLE-NEW T</v>
      </c>
      <c r="C93" s="12"/>
      <c r="D93" s="3">
        <f>0</f>
        <v>0</v>
      </c>
      <c r="E93" s="3"/>
      <c r="F93" s="20"/>
      <c r="G93" s="3"/>
      <c r="H93" s="3">
        <f>-231.5</f>
        <v>-231.5</v>
      </c>
      <c r="I93" s="3"/>
      <c r="J93" s="20"/>
      <c r="K93" s="3"/>
      <c r="L93" s="3">
        <f t="shared" si="8"/>
        <v>231.5</v>
      </c>
      <c r="M93" s="3"/>
      <c r="N93" s="20">
        <f t="shared" si="9"/>
        <v>-1</v>
      </c>
      <c r="O93" s="12"/>
      <c r="P93" s="3">
        <f>0</f>
        <v>0</v>
      </c>
      <c r="Q93" s="3"/>
      <c r="R93" s="20"/>
      <c r="S93" s="3"/>
      <c r="T93" s="3">
        <f>-3237.29</f>
        <v>-3237.29</v>
      </c>
      <c r="U93" s="3"/>
      <c r="V93" s="20"/>
      <c r="W93" s="3"/>
      <c r="X93" s="3">
        <f t="shared" si="10"/>
        <v>3237.29</v>
      </c>
      <c r="Y93" s="3"/>
      <c r="Z93" s="20">
        <f t="shared" si="11"/>
        <v>-1</v>
      </c>
    </row>
    <row r="94" spans="1:26" s="69" customFormat="1" ht="15" hidden="1" customHeight="1" outlineLevel="1" x14ac:dyDescent="0.3">
      <c r="A94" s="42"/>
      <c r="B94" s="12" t="str">
        <f>CONCATENATE("          ","4302"," - ","SALES RETURN NON TAXABLE-TEXT")</f>
        <v xml:space="preserve">          4302 - SALES RETURN NON TAXABLE-TEXT</v>
      </c>
      <c r="C94" s="12"/>
      <c r="D94" s="3">
        <f>0</f>
        <v>0</v>
      </c>
      <c r="E94" s="3"/>
      <c r="F94" s="20"/>
      <c r="G94" s="3"/>
      <c r="H94" s="3">
        <f>-70.32</f>
        <v>-70.319999999999993</v>
      </c>
      <c r="I94" s="3"/>
      <c r="J94" s="20"/>
      <c r="K94" s="3"/>
      <c r="L94" s="3">
        <f t="shared" si="8"/>
        <v>70.319999999999993</v>
      </c>
      <c r="M94" s="3"/>
      <c r="N94" s="20">
        <f t="shared" si="9"/>
        <v>-1</v>
      </c>
      <c r="O94" s="12"/>
      <c r="P94" s="3">
        <f>0</f>
        <v>0</v>
      </c>
      <c r="Q94" s="3"/>
      <c r="R94" s="20"/>
      <c r="S94" s="3"/>
      <c r="T94" s="3">
        <f>-2073.48</f>
        <v>-2073.48</v>
      </c>
      <c r="U94" s="3"/>
      <c r="V94" s="20"/>
      <c r="W94" s="3"/>
      <c r="X94" s="3">
        <f t="shared" si="10"/>
        <v>2073.48</v>
      </c>
      <c r="Y94" s="3"/>
      <c r="Z94" s="20">
        <f t="shared" si="11"/>
        <v>-1</v>
      </c>
    </row>
    <row r="95" spans="1:26" s="69" customFormat="1" ht="15" hidden="1" customHeight="1" outlineLevel="1" x14ac:dyDescent="0.3">
      <c r="A95" s="42"/>
      <c r="B95" s="12" t="str">
        <f>CONCATENATE("          ","4304"," - ","SALES RETURN NON TAXABLE-DIGIT")</f>
        <v xml:space="preserve">          4304 - SALES RETURN NON TAXABLE-DIGIT</v>
      </c>
      <c r="C95" s="12"/>
      <c r="D95" s="3">
        <f>0</f>
        <v>0</v>
      </c>
      <c r="E95" s="3"/>
      <c r="F95" s="20"/>
      <c r="G95" s="3"/>
      <c r="H95" s="3">
        <f>-2172.95</f>
        <v>-2172.9499999999998</v>
      </c>
      <c r="I95" s="3"/>
      <c r="J95" s="20"/>
      <c r="K95" s="3"/>
      <c r="L95" s="3">
        <f t="shared" si="8"/>
        <v>2172.9499999999998</v>
      </c>
      <c r="M95" s="3"/>
      <c r="N95" s="20">
        <f t="shared" si="9"/>
        <v>-1</v>
      </c>
      <c r="O95" s="12"/>
      <c r="P95" s="3">
        <f>0</f>
        <v>0</v>
      </c>
      <c r="Q95" s="3"/>
      <c r="R95" s="20"/>
      <c r="S95" s="3"/>
      <c r="T95" s="3">
        <f>-27268.72</f>
        <v>-27268.720000000001</v>
      </c>
      <c r="U95" s="3"/>
      <c r="V95" s="20"/>
      <c r="W95" s="3"/>
      <c r="X95" s="3">
        <f t="shared" si="10"/>
        <v>27268.720000000001</v>
      </c>
      <c r="Y95" s="3"/>
      <c r="Z95" s="20">
        <f t="shared" si="11"/>
        <v>-1</v>
      </c>
    </row>
    <row r="96" spans="1:26" s="69" customFormat="1" ht="15" hidden="1" customHeight="1" outlineLevel="1" x14ac:dyDescent="0.3">
      <c r="A96" s="42"/>
      <c r="B96" s="12" t="str">
        <f>CONCATENATE("          ","4340"," - ","SALES RETURN NON TAXABLE-LOGO")</f>
        <v xml:space="preserve">          4340 - SALES RETURN NON TAXABLE-LOGO</v>
      </c>
      <c r="C96" s="12"/>
      <c r="D96" s="3">
        <f>0</f>
        <v>0</v>
      </c>
      <c r="E96" s="3"/>
      <c r="F96" s="20"/>
      <c r="G96" s="3"/>
      <c r="H96" s="3">
        <f>-76.9</f>
        <v>-76.900000000000006</v>
      </c>
      <c r="I96" s="3"/>
      <c r="J96" s="20"/>
      <c r="K96" s="3"/>
      <c r="L96" s="3">
        <f t="shared" si="8"/>
        <v>76.900000000000006</v>
      </c>
      <c r="M96" s="3"/>
      <c r="N96" s="20">
        <f t="shared" si="9"/>
        <v>-1</v>
      </c>
      <c r="O96" s="12"/>
      <c r="P96" s="3">
        <f>0</f>
        <v>0</v>
      </c>
      <c r="Q96" s="3"/>
      <c r="R96" s="20"/>
      <c r="S96" s="3"/>
      <c r="T96" s="3">
        <f>-2292.84</f>
        <v>-2292.84</v>
      </c>
      <c r="U96" s="3"/>
      <c r="V96" s="20"/>
      <c r="W96" s="3"/>
      <c r="X96" s="3">
        <f t="shared" si="10"/>
        <v>2292.84</v>
      </c>
      <c r="Y96" s="3"/>
      <c r="Z96" s="20">
        <f t="shared" si="11"/>
        <v>-1</v>
      </c>
    </row>
    <row r="97" spans="1:26" s="69" customFormat="1" ht="15" hidden="1" customHeight="1" outlineLevel="1" x14ac:dyDescent="0.3">
      <c r="A97" s="42"/>
      <c r="B97" s="12" t="str">
        <f>CONCATENATE("          ","4341"," - ","SALES RETURN NON TAXABLE-LOGO")</f>
        <v xml:space="preserve">          4341 - SALES RETURN NON TAXABLE-LOGO</v>
      </c>
      <c r="C97" s="12"/>
      <c r="D97" s="3">
        <f>0</f>
        <v>0</v>
      </c>
      <c r="E97" s="3"/>
      <c r="F97" s="20"/>
      <c r="G97" s="3"/>
      <c r="H97" s="3">
        <f>0</f>
        <v>0</v>
      </c>
      <c r="I97" s="3"/>
      <c r="J97" s="20"/>
      <c r="K97" s="3"/>
      <c r="L97" s="3">
        <f t="shared" si="8"/>
        <v>0</v>
      </c>
      <c r="M97" s="3"/>
      <c r="N97" s="20">
        <f t="shared" si="9"/>
        <v>0</v>
      </c>
      <c r="O97" s="12"/>
      <c r="P97" s="3">
        <f>0</f>
        <v>0</v>
      </c>
      <c r="Q97" s="3"/>
      <c r="R97" s="20"/>
      <c r="S97" s="3"/>
      <c r="T97" s="3">
        <f>-362.64</f>
        <v>-362.64</v>
      </c>
      <c r="U97" s="3"/>
      <c r="V97" s="20"/>
      <c r="W97" s="3"/>
      <c r="X97" s="3">
        <f t="shared" si="10"/>
        <v>362.64</v>
      </c>
      <c r="Y97" s="3"/>
      <c r="Z97" s="20">
        <f t="shared" si="11"/>
        <v>-1</v>
      </c>
    </row>
    <row r="98" spans="1:26" s="69" customFormat="1" ht="15" hidden="1" customHeight="1" outlineLevel="1" x14ac:dyDescent="0.3">
      <c r="A98" s="42"/>
      <c r="B98" s="12" t="str">
        <f>CONCATENATE("          ","4342"," - ","SALES RETURN NON TAXABLE-EVERY")</f>
        <v xml:space="preserve">          4342 - SALES RETURN NON TAXABLE-EVERY</v>
      </c>
      <c r="C98" s="12"/>
      <c r="D98" s="3">
        <f>0</f>
        <v>0</v>
      </c>
      <c r="E98" s="3"/>
      <c r="F98" s="20"/>
      <c r="G98" s="3"/>
      <c r="H98" s="3">
        <f>0</f>
        <v>0</v>
      </c>
      <c r="I98" s="3"/>
      <c r="J98" s="20"/>
      <c r="K98" s="3"/>
      <c r="L98" s="3">
        <f t="shared" si="8"/>
        <v>0</v>
      </c>
      <c r="M98" s="3"/>
      <c r="N98" s="20">
        <f t="shared" si="9"/>
        <v>0</v>
      </c>
      <c r="O98" s="12"/>
      <c r="P98" s="3">
        <f>0</f>
        <v>0</v>
      </c>
      <c r="Q98" s="3"/>
      <c r="R98" s="20"/>
      <c r="S98" s="3"/>
      <c r="T98" s="3">
        <f>-118.7</f>
        <v>-118.7</v>
      </c>
      <c r="U98" s="3"/>
      <c r="V98" s="20"/>
      <c r="W98" s="3"/>
      <c r="X98" s="3">
        <f t="shared" si="10"/>
        <v>118.7</v>
      </c>
      <c r="Y98" s="3"/>
      <c r="Z98" s="20">
        <f t="shared" si="11"/>
        <v>-1</v>
      </c>
    </row>
    <row r="99" spans="1:26" s="69" customFormat="1" ht="15" hidden="1" customHeight="1" outlineLevel="1" x14ac:dyDescent="0.3">
      <c r="A99" s="42"/>
      <c r="B99" s="12" t="str">
        <f>CONCATENATE("          ","4381"," - ","SALES RETURN NON TAXABLE-ELECT")</f>
        <v xml:space="preserve">          4381 - SALES RETURN NON TAXABLE-ELECT</v>
      </c>
      <c r="C99" s="12"/>
      <c r="D99" s="3">
        <f>0</f>
        <v>0</v>
      </c>
      <c r="E99" s="3"/>
      <c r="F99" s="20"/>
      <c r="G99" s="3"/>
      <c r="H99" s="3">
        <f>0</f>
        <v>0</v>
      </c>
      <c r="I99" s="3"/>
      <c r="J99" s="20"/>
      <c r="K99" s="3"/>
      <c r="L99" s="3">
        <f t="shared" si="8"/>
        <v>0</v>
      </c>
      <c r="M99" s="3"/>
      <c r="N99" s="20">
        <f t="shared" si="9"/>
        <v>0</v>
      </c>
      <c r="O99" s="12"/>
      <c r="P99" s="3">
        <f>0</f>
        <v>0</v>
      </c>
      <c r="Q99" s="3"/>
      <c r="R99" s="20"/>
      <c r="S99" s="3"/>
      <c r="T99" s="3">
        <f>-5624.15</f>
        <v>-5624.15</v>
      </c>
      <c r="U99" s="3"/>
      <c r="V99" s="20"/>
      <c r="W99" s="3"/>
      <c r="X99" s="3">
        <f t="shared" si="10"/>
        <v>5624.15</v>
      </c>
      <c r="Y99" s="3"/>
      <c r="Z99" s="20">
        <f t="shared" si="11"/>
        <v>-1</v>
      </c>
    </row>
    <row r="100" spans="1:26" s="69" customFormat="1" ht="15" hidden="1" customHeight="1" outlineLevel="1" x14ac:dyDescent="0.3">
      <c r="A100" s="42"/>
      <c r="B100" s="12" t="str">
        <f>CONCATENATE("          ","4500"," - ","SALES DISCOUNT")</f>
        <v xml:space="preserve">          4500 - SALES DISCOUNT</v>
      </c>
      <c r="C100" s="12"/>
      <c r="D100" s="3">
        <f>-12330.53</f>
        <v>-12330.53</v>
      </c>
      <c r="E100" s="3"/>
      <c r="F100" s="20"/>
      <c r="G100" s="3"/>
      <c r="H100" s="3">
        <f>0</f>
        <v>0</v>
      </c>
      <c r="I100" s="3"/>
      <c r="J100" s="20"/>
      <c r="K100" s="3"/>
      <c r="L100" s="3">
        <f t="shared" si="8"/>
        <v>-12330.53</v>
      </c>
      <c r="M100" s="3"/>
      <c r="N100" s="20">
        <f t="shared" si="9"/>
        <v>0</v>
      </c>
      <c r="O100" s="12"/>
      <c r="P100" s="3">
        <f>-83464.7</f>
        <v>-83464.7</v>
      </c>
      <c r="Q100" s="3"/>
      <c r="R100" s="20"/>
      <c r="S100" s="3"/>
      <c r="T100" s="3">
        <f>0</f>
        <v>0</v>
      </c>
      <c r="U100" s="3"/>
      <c r="V100" s="20"/>
      <c r="W100" s="3"/>
      <c r="X100" s="3">
        <f t="shared" si="10"/>
        <v>-83464.7</v>
      </c>
      <c r="Y100" s="3"/>
      <c r="Z100" s="20">
        <f t="shared" si="11"/>
        <v>0</v>
      </c>
    </row>
    <row r="101" spans="1:26" ht="15" customHeight="1" x14ac:dyDescent="0.3">
      <c r="A101" s="10"/>
      <c r="B101" s="11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collapsed="1" x14ac:dyDescent="0.3">
      <c r="A102" s="11"/>
      <c r="B102" s="27" t="s">
        <v>287</v>
      </c>
      <c r="C102" s="11"/>
      <c r="D102" s="5">
        <f>SUM(OSRRefD16x_0)</f>
        <v>981293.33</v>
      </c>
      <c r="E102" s="5"/>
      <c r="F102" s="13">
        <f t="shared" ref="F102:F133" si="12">IF(D$12=0,0,D102/D$12)</f>
        <v>0.36536867541658291</v>
      </c>
      <c r="G102" s="5"/>
      <c r="H102" s="5">
        <f>SUM(OSRRefH16x_0)</f>
        <v>355341.98</v>
      </c>
      <c r="I102" s="5"/>
      <c r="J102" s="13">
        <f t="shared" ref="J102:J133" si="13">IF(H$12=0,0,H102/H$12)</f>
        <v>0.65065417626594724</v>
      </c>
      <c r="K102" s="5"/>
      <c r="L102" s="5">
        <f t="shared" ref="L102:L133" si="14">+D102-H102</f>
        <v>625951.35</v>
      </c>
      <c r="M102" s="5"/>
      <c r="N102" s="13">
        <f t="shared" ref="N102:N133" si="15">IF(H102=0,0,L102/H102)</f>
        <v>1.7615462997082416</v>
      </c>
      <c r="O102" s="11"/>
      <c r="P102" s="5">
        <f>SUM(OSRRefP16x_0)</f>
        <v>6496619.8900000006</v>
      </c>
      <c r="Q102" s="5"/>
      <c r="R102" s="13">
        <f t="shared" ref="R102:R133" si="16">IF(P$12=0,0,P102/P$12)</f>
        <v>0.41521273273205273</v>
      </c>
      <c r="S102" s="5"/>
      <c r="T102" s="5">
        <f>SUM(OSRRefT16x_0)</f>
        <v>4499990.28</v>
      </c>
      <c r="U102" s="5"/>
      <c r="V102" s="13">
        <f t="shared" ref="V102:V133" si="17">IF(T$12=0,0,T102/T$12)</f>
        <v>0.62924729364244514</v>
      </c>
      <c r="W102" s="5"/>
      <c r="X102" s="5">
        <f t="shared" ref="X102:X133" si="18">+P102-T102</f>
        <v>1996629.6100000003</v>
      </c>
      <c r="Y102" s="5"/>
      <c r="Z102" s="13">
        <f t="shared" ref="Z102:Z133" si="19">IF(T102=0,0,X102/T102)</f>
        <v>0.44369642727317182</v>
      </c>
    </row>
    <row r="103" spans="1:26" s="69" customFormat="1" ht="15" hidden="1" customHeight="1" outlineLevel="1" x14ac:dyDescent="0.3">
      <c r="A103" s="42"/>
      <c r="B103" s="12" t="str">
        <f>CONCATENATE("          ","5000"," - ","PURCHASES @ COST")</f>
        <v xml:space="preserve">          5000 - PURCHASES @ COST</v>
      </c>
      <c r="C103" s="12"/>
      <c r="D103" s="3">
        <v>529484.19999999995</v>
      </c>
      <c r="E103" s="3"/>
      <c r="F103" s="20">
        <f t="shared" si="12"/>
        <v>0.19714486473479756</v>
      </c>
      <c r="G103" s="3"/>
      <c r="H103" s="3"/>
      <c r="I103" s="3"/>
      <c r="J103" s="20">
        <f t="shared" si="13"/>
        <v>0</v>
      </c>
      <c r="K103" s="3"/>
      <c r="L103" s="3">
        <f t="shared" si="14"/>
        <v>529484.19999999995</v>
      </c>
      <c r="M103" s="3"/>
      <c r="N103" s="20">
        <f t="shared" si="15"/>
        <v>0</v>
      </c>
      <c r="O103" s="12"/>
      <c r="P103" s="3">
        <v>4575471.9000000004</v>
      </c>
      <c r="Q103" s="3"/>
      <c r="R103" s="20">
        <f t="shared" si="16"/>
        <v>0.29242809696500766</v>
      </c>
      <c r="S103" s="3"/>
      <c r="T103" s="3">
        <v>0</v>
      </c>
      <c r="U103" s="3"/>
      <c r="V103" s="20">
        <f t="shared" si="17"/>
        <v>0</v>
      </c>
      <c r="W103" s="3"/>
      <c r="X103" s="3">
        <f t="shared" si="18"/>
        <v>4575471.9000000004</v>
      </c>
      <c r="Y103" s="3"/>
      <c r="Z103" s="20">
        <f t="shared" si="19"/>
        <v>0</v>
      </c>
    </row>
    <row r="104" spans="1:26" s="69" customFormat="1" ht="15" hidden="1" customHeight="1" outlineLevel="1" x14ac:dyDescent="0.3">
      <c r="A104" s="42"/>
      <c r="B104" s="12" t="str">
        <f>CONCATENATE("          ","5001"," - ","PURCHASES @ COST-NEW TEXT")</f>
        <v xml:space="preserve">          5001 - PURCHASES @ COST-NEW TEXT</v>
      </c>
      <c r="C104" s="12"/>
      <c r="D104" s="3"/>
      <c r="E104" s="3"/>
      <c r="F104" s="20">
        <f t="shared" si="12"/>
        <v>0</v>
      </c>
      <c r="G104" s="3"/>
      <c r="H104" s="3">
        <v>-332593.57</v>
      </c>
      <c r="I104" s="3"/>
      <c r="J104" s="20">
        <f t="shared" si="13"/>
        <v>-0.60900036443681849</v>
      </c>
      <c r="K104" s="3"/>
      <c r="L104" s="3">
        <f t="shared" si="14"/>
        <v>332593.57</v>
      </c>
      <c r="M104" s="3"/>
      <c r="N104" s="20">
        <f t="shared" si="15"/>
        <v>-1</v>
      </c>
      <c r="O104" s="12"/>
      <c r="P104" s="3">
        <v>0</v>
      </c>
      <c r="Q104" s="3"/>
      <c r="R104" s="20">
        <f t="shared" si="16"/>
        <v>0</v>
      </c>
      <c r="S104" s="3"/>
      <c r="T104" s="3">
        <v>1326415.6399999999</v>
      </c>
      <c r="U104" s="3"/>
      <c r="V104" s="20">
        <f t="shared" si="17"/>
        <v>0.18547672323305811</v>
      </c>
      <c r="W104" s="3"/>
      <c r="X104" s="3">
        <f t="shared" si="18"/>
        <v>-1326415.6399999999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","5002"," - ","PURCHASES @ COST-USED TEXT")</f>
        <v xml:space="preserve">          5002 - PURCHASES @ COST-USED TEXT</v>
      </c>
      <c r="C105" s="12"/>
      <c r="D105" s="3"/>
      <c r="E105" s="3"/>
      <c r="F105" s="20">
        <f t="shared" si="12"/>
        <v>0</v>
      </c>
      <c r="G105" s="3"/>
      <c r="H105" s="3">
        <v>121987.94</v>
      </c>
      <c r="I105" s="3"/>
      <c r="J105" s="20">
        <f t="shared" si="13"/>
        <v>0.22336781771486669</v>
      </c>
      <c r="K105" s="3"/>
      <c r="L105" s="3">
        <f t="shared" si="14"/>
        <v>-121987.94</v>
      </c>
      <c r="M105" s="3"/>
      <c r="N105" s="20">
        <f t="shared" si="15"/>
        <v>-1</v>
      </c>
      <c r="O105" s="12"/>
      <c r="P105" s="3">
        <v>0</v>
      </c>
      <c r="Q105" s="3"/>
      <c r="R105" s="20">
        <f t="shared" si="16"/>
        <v>0</v>
      </c>
      <c r="S105" s="3"/>
      <c r="T105" s="3">
        <v>382324.22</v>
      </c>
      <c r="U105" s="3"/>
      <c r="V105" s="20">
        <f t="shared" si="17"/>
        <v>5.3461555638951018E-2</v>
      </c>
      <c r="W105" s="3"/>
      <c r="X105" s="3">
        <f t="shared" si="18"/>
        <v>-382324.22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","5003"," - ","PURCHASES @ COST-RENTAL TEXT")</f>
        <v xml:space="preserve">          5003 - PURCHASES @ COST-RENTAL TEXT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/>
      <c r="Q106" s="3"/>
      <c r="R106" s="20">
        <f t="shared" si="16"/>
        <v>0</v>
      </c>
      <c r="S106" s="3"/>
      <c r="T106" s="3">
        <v>32.520000000000003</v>
      </c>
      <c r="U106" s="3"/>
      <c r="V106" s="20">
        <f t="shared" si="17"/>
        <v>4.5473702643758416E-6</v>
      </c>
      <c r="W106" s="3"/>
      <c r="X106" s="3">
        <f t="shared" si="18"/>
        <v>-32.520000000000003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","5004"," - ","PURCHASES @ COST-DIGITAL TEXT")</f>
        <v xml:space="preserve">          5004 - PURCHASES @ COST-DIGITAL TEXT</v>
      </c>
      <c r="C107" s="12"/>
      <c r="D107" s="3"/>
      <c r="E107" s="3"/>
      <c r="F107" s="20">
        <f t="shared" si="12"/>
        <v>0</v>
      </c>
      <c r="G107" s="3"/>
      <c r="H107" s="3">
        <v>3282.02</v>
      </c>
      <c r="I107" s="3"/>
      <c r="J107" s="20">
        <f t="shared" si="13"/>
        <v>6.0095911538185394E-3</v>
      </c>
      <c r="K107" s="3"/>
      <c r="L107" s="3">
        <f t="shared" si="14"/>
        <v>-3282.02</v>
      </c>
      <c r="M107" s="3"/>
      <c r="N107" s="20">
        <f t="shared" si="15"/>
        <v>-1</v>
      </c>
      <c r="O107" s="12"/>
      <c r="P107" s="3">
        <v>0</v>
      </c>
      <c r="Q107" s="3"/>
      <c r="R107" s="20">
        <f t="shared" si="16"/>
        <v>0</v>
      </c>
      <c r="S107" s="3"/>
      <c r="T107" s="3">
        <v>220008.58</v>
      </c>
      <c r="U107" s="3"/>
      <c r="V107" s="20">
        <f t="shared" si="17"/>
        <v>3.076446723860865E-2</v>
      </c>
      <c r="W107" s="3"/>
      <c r="X107" s="3">
        <f t="shared" si="18"/>
        <v>-220008.58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","5011"," - ","PURCHASES @ COST-NO VALUE TEXT")</f>
        <v xml:space="preserve">          5011 - PURCHASES @ COST-NO VALUE TEXT</v>
      </c>
      <c r="C108" s="12"/>
      <c r="D108" s="3"/>
      <c r="E108" s="3"/>
      <c r="F108" s="20">
        <f t="shared" si="12"/>
        <v>0</v>
      </c>
      <c r="G108" s="3"/>
      <c r="H108" s="3"/>
      <c r="I108" s="3"/>
      <c r="J108" s="20">
        <f t="shared" si="13"/>
        <v>0</v>
      </c>
      <c r="K108" s="3"/>
      <c r="L108" s="3">
        <f t="shared" si="14"/>
        <v>0</v>
      </c>
      <c r="M108" s="3"/>
      <c r="N108" s="20">
        <f t="shared" si="15"/>
        <v>0</v>
      </c>
      <c r="O108" s="12"/>
      <c r="P108" s="3"/>
      <c r="Q108" s="3"/>
      <c r="R108" s="20">
        <f t="shared" si="16"/>
        <v>0</v>
      </c>
      <c r="S108" s="3"/>
      <c r="T108" s="3">
        <v>67.17</v>
      </c>
      <c r="U108" s="3"/>
      <c r="V108" s="20">
        <f t="shared" si="17"/>
        <v>9.3925848910862618E-6</v>
      </c>
      <c r="W108" s="3"/>
      <c r="X108" s="3">
        <f t="shared" si="18"/>
        <v>-67.17</v>
      </c>
      <c r="Y108" s="3"/>
      <c r="Z108" s="20">
        <f t="shared" si="19"/>
        <v>-1</v>
      </c>
    </row>
    <row r="109" spans="1:26" s="69" customFormat="1" ht="15" hidden="1" customHeight="1" outlineLevel="1" x14ac:dyDescent="0.3">
      <c r="A109" s="42"/>
      <c r="B109" s="12" t="str">
        <f>CONCATENATE("          ","5013"," - ","PURCHASES @ COST-TRADE BOOKS")</f>
        <v xml:space="preserve">          5013 - PURCHASES @ COST-TRADE BOOKS</v>
      </c>
      <c r="C109" s="12"/>
      <c r="D109" s="3"/>
      <c r="E109" s="3"/>
      <c r="F109" s="20">
        <f t="shared" si="12"/>
        <v>0</v>
      </c>
      <c r="G109" s="3"/>
      <c r="H109" s="3">
        <v>305.11</v>
      </c>
      <c r="I109" s="3"/>
      <c r="J109" s="20">
        <f t="shared" si="13"/>
        <v>5.5867616801286233E-4</v>
      </c>
      <c r="K109" s="3"/>
      <c r="L109" s="3">
        <f t="shared" si="14"/>
        <v>-305.11</v>
      </c>
      <c r="M109" s="3"/>
      <c r="N109" s="20">
        <f t="shared" si="15"/>
        <v>-1</v>
      </c>
      <c r="O109" s="12"/>
      <c r="P109" s="3"/>
      <c r="Q109" s="3"/>
      <c r="R109" s="20">
        <f t="shared" si="16"/>
        <v>0</v>
      </c>
      <c r="S109" s="3"/>
      <c r="T109" s="3">
        <v>5962.09</v>
      </c>
      <c r="U109" s="3"/>
      <c r="V109" s="20">
        <f t="shared" si="17"/>
        <v>8.336971334419606E-4</v>
      </c>
      <c r="W109" s="3"/>
      <c r="X109" s="3">
        <f t="shared" si="18"/>
        <v>-5962.09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","5014"," - ","PURCHASES @ COST-REMAINDERS")</f>
        <v xml:space="preserve">          5014 - PURCHASES @ COST-REMAINDERS</v>
      </c>
      <c r="C110" s="12"/>
      <c r="D110" s="3"/>
      <c r="E110" s="3"/>
      <c r="F110" s="20">
        <f t="shared" si="12"/>
        <v>0</v>
      </c>
      <c r="G110" s="3"/>
      <c r="H110" s="3">
        <v>21.16</v>
      </c>
      <c r="I110" s="3"/>
      <c r="J110" s="20">
        <f t="shared" si="13"/>
        <v>3.8745330258438492E-5</v>
      </c>
      <c r="K110" s="3"/>
      <c r="L110" s="3">
        <f t="shared" si="14"/>
        <v>-21.16</v>
      </c>
      <c r="M110" s="3"/>
      <c r="N110" s="20">
        <f t="shared" si="15"/>
        <v>-1</v>
      </c>
      <c r="O110" s="12"/>
      <c r="P110" s="3"/>
      <c r="Q110" s="3"/>
      <c r="R110" s="20">
        <f t="shared" si="16"/>
        <v>0</v>
      </c>
      <c r="S110" s="3"/>
      <c r="T110" s="3">
        <v>111.57</v>
      </c>
      <c r="U110" s="3"/>
      <c r="V110" s="20">
        <f t="shared" si="17"/>
        <v>1.5601171598905677E-5</v>
      </c>
      <c r="W110" s="3"/>
      <c r="X110" s="3">
        <f t="shared" si="18"/>
        <v>-111.57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","5018"," - ","PURCHASES @ COST-STUDY GUIDES")</f>
        <v xml:space="preserve">          5018 - PURCHASES @ COST-STUDY GUIDES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522.34</v>
      </c>
      <c r="U111" s="3"/>
      <c r="V111" s="20">
        <f t="shared" si="17"/>
        <v>7.3040386958612456E-5</v>
      </c>
      <c r="W111" s="3"/>
      <c r="X111" s="3">
        <f t="shared" si="18"/>
        <v>-522.34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","5025"," - ","PURCHASES @ COST-TEST FORMS")</f>
        <v xml:space="preserve">          5025 - PURCHASES @ COST-TEST FORMS</v>
      </c>
      <c r="C112" s="12"/>
      <c r="D112" s="3"/>
      <c r="E112" s="3"/>
      <c r="F112" s="20">
        <f t="shared" si="12"/>
        <v>0</v>
      </c>
      <c r="G112" s="3"/>
      <c r="H112" s="3"/>
      <c r="I112" s="3"/>
      <c r="J112" s="20">
        <f t="shared" si="13"/>
        <v>0</v>
      </c>
      <c r="K112" s="3"/>
      <c r="L112" s="3">
        <f t="shared" si="14"/>
        <v>0</v>
      </c>
      <c r="M112" s="3"/>
      <c r="N112" s="20">
        <f t="shared" si="15"/>
        <v>0</v>
      </c>
      <c r="O112" s="12"/>
      <c r="P112" s="3"/>
      <c r="Q112" s="3"/>
      <c r="R112" s="20">
        <f t="shared" si="16"/>
        <v>0</v>
      </c>
      <c r="S112" s="3"/>
      <c r="T112" s="3">
        <v>599.29</v>
      </c>
      <c r="U112" s="3"/>
      <c r="V112" s="20">
        <f t="shared" si="17"/>
        <v>8.3800538921826494E-5</v>
      </c>
      <c r="W112" s="3"/>
      <c r="X112" s="3">
        <f t="shared" si="18"/>
        <v>-599.29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","5026"," - ","PURCHASES @ COST-WRITING INSTR")</f>
        <v xml:space="preserve">          5026 - PURCHASES @ COST-WRITING INSTR</v>
      </c>
      <c r="C113" s="12"/>
      <c r="D113" s="3"/>
      <c r="E113" s="3"/>
      <c r="F113" s="20">
        <f t="shared" si="12"/>
        <v>0</v>
      </c>
      <c r="G113" s="3"/>
      <c r="H113" s="3"/>
      <c r="I113" s="3"/>
      <c r="J113" s="20">
        <f t="shared" si="13"/>
        <v>0</v>
      </c>
      <c r="K113" s="3"/>
      <c r="L113" s="3">
        <f t="shared" si="14"/>
        <v>0</v>
      </c>
      <c r="M113" s="3"/>
      <c r="N113" s="20">
        <f t="shared" si="15"/>
        <v>0</v>
      </c>
      <c r="O113" s="12"/>
      <c r="P113" s="3">
        <v>0</v>
      </c>
      <c r="Q113" s="3"/>
      <c r="R113" s="20">
        <f t="shared" si="16"/>
        <v>0</v>
      </c>
      <c r="S113" s="3"/>
      <c r="T113" s="3">
        <v>374.91</v>
      </c>
      <c r="U113" s="3"/>
      <c r="V113" s="20">
        <f t="shared" si="17"/>
        <v>5.2424802761904881E-5</v>
      </c>
      <c r="W113" s="3"/>
      <c r="X113" s="3">
        <f t="shared" si="18"/>
        <v>-374.91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","5027"," - ","PURCHASES @ COST-SCHOOL SUPPLI")</f>
        <v xml:space="preserve">          5027 - PURCHASES @ COST-SCHOOL SUPPLI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>
        <v>0</v>
      </c>
      <c r="Q114" s="3"/>
      <c r="R114" s="20">
        <f t="shared" si="16"/>
        <v>0</v>
      </c>
      <c r="S114" s="3"/>
      <c r="T114" s="3">
        <v>19071.349999999999</v>
      </c>
      <c r="U114" s="3"/>
      <c r="V114" s="20">
        <f t="shared" si="17"/>
        <v>2.6668047322110761E-3</v>
      </c>
      <c r="W114" s="3"/>
      <c r="X114" s="3">
        <f t="shared" si="18"/>
        <v>-19071.349999999999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","5028"," - ","PURCHASES @ COST-ART/TECH")</f>
        <v xml:space="preserve">          5028 - PURCHASES @ COST-ART/TECH</v>
      </c>
      <c r="C115" s="12"/>
      <c r="D115" s="3"/>
      <c r="E115" s="3"/>
      <c r="F115" s="20">
        <f t="shared" si="12"/>
        <v>0</v>
      </c>
      <c r="G115" s="3"/>
      <c r="H115" s="3">
        <v>833.13</v>
      </c>
      <c r="I115" s="3"/>
      <c r="J115" s="20">
        <f t="shared" si="13"/>
        <v>1.5255149810119498E-3</v>
      </c>
      <c r="K115" s="3"/>
      <c r="L115" s="3">
        <f t="shared" si="14"/>
        <v>-833.13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42191.58</v>
      </c>
      <c r="U115" s="3"/>
      <c r="V115" s="20">
        <f t="shared" si="17"/>
        <v>5.8997766389616993E-3</v>
      </c>
      <c r="W115" s="3"/>
      <c r="X115" s="3">
        <f t="shared" si="18"/>
        <v>-42191.58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","5031"," - ","PURCHASES @ COST-FOOD")</f>
        <v xml:space="preserve">          5031 - PURCHASES @ COST-FOOD</v>
      </c>
      <c r="C116" s="12"/>
      <c r="D116" s="3"/>
      <c r="E116" s="3"/>
      <c r="F116" s="20">
        <f t="shared" si="12"/>
        <v>0</v>
      </c>
      <c r="G116" s="3"/>
      <c r="H116" s="3">
        <v>271.45999999999998</v>
      </c>
      <c r="I116" s="3"/>
      <c r="J116" s="20">
        <f t="shared" si="13"/>
        <v>4.9706083893930584E-4</v>
      </c>
      <c r="K116" s="3"/>
      <c r="L116" s="3">
        <f t="shared" si="14"/>
        <v>-271.45999999999998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7785.72</v>
      </c>
      <c r="U116" s="3"/>
      <c r="V116" s="20">
        <f t="shared" si="17"/>
        <v>1.088700849162247E-3</v>
      </c>
      <c r="W116" s="3"/>
      <c r="X116" s="3">
        <f t="shared" si="18"/>
        <v>-7785.72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","5040"," - ","PURCHASES @ COST-LOGO CLOTHING")</f>
        <v xml:space="preserve">          5040 - PURCHASES @ COST-LOGO CLOTHING</v>
      </c>
      <c r="C117" s="12"/>
      <c r="D117" s="3"/>
      <c r="E117" s="3"/>
      <c r="F117" s="20">
        <f t="shared" si="12"/>
        <v>0</v>
      </c>
      <c r="G117" s="3"/>
      <c r="H117" s="3">
        <v>26599.9</v>
      </c>
      <c r="I117" s="3"/>
      <c r="J117" s="20">
        <f t="shared" si="13"/>
        <v>4.8706139430124668E-2</v>
      </c>
      <c r="K117" s="3"/>
      <c r="L117" s="3">
        <f t="shared" si="14"/>
        <v>-26599.9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193971.09</v>
      </c>
      <c r="U117" s="3"/>
      <c r="V117" s="20">
        <f t="shared" si="17"/>
        <v>2.712356601520818E-2</v>
      </c>
      <c r="W117" s="3"/>
      <c r="X117" s="3">
        <f t="shared" si="18"/>
        <v>-193971.09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","5041"," - ","PURCHASES @ COST-LOGO GIFTS")</f>
        <v xml:space="preserve">          5041 - PURCHASES @ COST-LOGO GIFTS</v>
      </c>
      <c r="C118" s="12"/>
      <c r="D118" s="3"/>
      <c r="E118" s="3"/>
      <c r="F118" s="20">
        <f t="shared" si="12"/>
        <v>0</v>
      </c>
      <c r="G118" s="3"/>
      <c r="H118" s="3">
        <v>26592.81</v>
      </c>
      <c r="I118" s="3"/>
      <c r="J118" s="20">
        <f t="shared" si="13"/>
        <v>4.8693157180997433E-2</v>
      </c>
      <c r="K118" s="3"/>
      <c r="L118" s="3">
        <f t="shared" si="14"/>
        <v>-26592.81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67563.81</v>
      </c>
      <c r="U118" s="3"/>
      <c r="V118" s="20">
        <f t="shared" si="17"/>
        <v>9.447652538190009E-3</v>
      </c>
      <c r="W118" s="3"/>
      <c r="X118" s="3">
        <f t="shared" si="18"/>
        <v>-67563.81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","5042"," - ","PURCHASES @ COST-EVERYDAY GIFT")</f>
        <v xml:space="preserve">          5042 - PURCHASES @ COST-EVERYDAY GIFT</v>
      </c>
      <c r="C119" s="12"/>
      <c r="D119" s="3"/>
      <c r="E119" s="3"/>
      <c r="F119" s="20">
        <f t="shared" si="12"/>
        <v>0</v>
      </c>
      <c r="G119" s="3"/>
      <c r="H119" s="3">
        <v>1196.2</v>
      </c>
      <c r="I119" s="3"/>
      <c r="J119" s="20">
        <f t="shared" si="13"/>
        <v>2.1903196623414044E-3</v>
      </c>
      <c r="K119" s="3"/>
      <c r="L119" s="3">
        <f t="shared" si="14"/>
        <v>-1196.2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19018.18</v>
      </c>
      <c r="U119" s="3"/>
      <c r="V119" s="20">
        <f t="shared" si="17"/>
        <v>2.6593698097954286E-3</v>
      </c>
      <c r="W119" s="3"/>
      <c r="X119" s="3">
        <f t="shared" si="18"/>
        <v>-19018.18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","5043"," - ","PURCHASES @ COST-CARDS")</f>
        <v xml:space="preserve">          5043 - PURCHASES @ COST-CARDS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>
        <v>0</v>
      </c>
      <c r="Q120" s="3"/>
      <c r="R120" s="20">
        <f t="shared" si="16"/>
        <v>0</v>
      </c>
      <c r="S120" s="3"/>
      <c r="T120" s="3">
        <v>55364.33</v>
      </c>
      <c r="U120" s="3"/>
      <c r="V120" s="20">
        <f t="shared" si="17"/>
        <v>7.7417622370569289E-3</v>
      </c>
      <c r="W120" s="3"/>
      <c r="X120" s="3">
        <f t="shared" si="18"/>
        <v>-55364.33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","5044"," - ","PURCHASES @ COST-ACCESSORIES")</f>
        <v xml:space="preserve">          5044 - PURCHASES @ COST-ACCESSORIES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>
        <v>0</v>
      </c>
      <c r="Q121" s="3"/>
      <c r="R121" s="20">
        <f t="shared" si="16"/>
        <v>0</v>
      </c>
      <c r="S121" s="3"/>
      <c r="T121" s="3">
        <v>1064.83</v>
      </c>
      <c r="U121" s="3"/>
      <c r="V121" s="20">
        <f t="shared" si="17"/>
        <v>1.4889840955151681E-4</v>
      </c>
      <c r="W121" s="3"/>
      <c r="X121" s="3">
        <f t="shared" si="18"/>
        <v>-1064.83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","5045"," - ","PURCHASES @ COST-SPECIAL ORDER")</f>
        <v xml:space="preserve">          5045 - PURCHASES @ COST-SPECIAL ORDER</v>
      </c>
      <c r="C122" s="12"/>
      <c r="D122" s="3"/>
      <c r="E122" s="3"/>
      <c r="F122" s="20">
        <f t="shared" si="12"/>
        <v>0</v>
      </c>
      <c r="G122" s="3"/>
      <c r="H122" s="3">
        <v>1909.13</v>
      </c>
      <c r="I122" s="3"/>
      <c r="J122" s="20">
        <f t="shared" si="13"/>
        <v>3.4957406595601454E-3</v>
      </c>
      <c r="K122" s="3"/>
      <c r="L122" s="3">
        <f t="shared" si="14"/>
        <v>-1909.13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95373.51</v>
      </c>
      <c r="U122" s="3"/>
      <c r="V122" s="20">
        <f t="shared" si="17"/>
        <v>1.3336367262704547E-2</v>
      </c>
      <c r="W122" s="3"/>
      <c r="X122" s="3">
        <f t="shared" si="18"/>
        <v>-95373.51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","5053"," - ","PURCHASES @ COST-FOOD")</f>
        <v xml:space="preserve">          5053 - PURCHASES @ COST-FOOD</v>
      </c>
      <c r="C123" s="12"/>
      <c r="D123" s="3">
        <v>390356.27</v>
      </c>
      <c r="E123" s="3"/>
      <c r="F123" s="20">
        <f t="shared" si="12"/>
        <v>0.14534283373806078</v>
      </c>
      <c r="G123" s="3"/>
      <c r="H123" s="3">
        <v>44580.84</v>
      </c>
      <c r="I123" s="3"/>
      <c r="J123" s="20">
        <f t="shared" si="13"/>
        <v>8.1630404962126882E-2</v>
      </c>
      <c r="K123" s="3"/>
      <c r="L123" s="3">
        <f t="shared" si="14"/>
        <v>345775.43000000005</v>
      </c>
      <c r="M123" s="3"/>
      <c r="N123" s="20">
        <f t="shared" si="15"/>
        <v>7.7561443436238546</v>
      </c>
      <c r="O123" s="12"/>
      <c r="P123" s="3">
        <v>2304196.73</v>
      </c>
      <c r="Q123" s="3"/>
      <c r="R123" s="20">
        <f t="shared" si="16"/>
        <v>0.14726609178539454</v>
      </c>
      <c r="S123" s="3"/>
      <c r="T123" s="3">
        <v>342281.24</v>
      </c>
      <c r="U123" s="3"/>
      <c r="V123" s="20">
        <f t="shared" si="17"/>
        <v>4.7862224256755556E-2</v>
      </c>
      <c r="W123" s="3"/>
      <c r="X123" s="3">
        <f t="shared" si="18"/>
        <v>1961915.49</v>
      </c>
      <c r="Y123" s="3"/>
      <c r="Z123" s="20">
        <f t="shared" si="19"/>
        <v>5.73188144930175</v>
      </c>
    </row>
    <row r="124" spans="1:26" s="69" customFormat="1" ht="15" hidden="1" customHeight="1" outlineLevel="1" x14ac:dyDescent="0.3">
      <c r="A124" s="42"/>
      <c r="B124" s="12" t="str">
        <f>CONCATENATE("          ","5059"," - ","PURCHASES @ COST-FOOD")</f>
        <v xml:space="preserve">          5059 - PURCHASES @ COST-FOOD</v>
      </c>
      <c r="C124" s="12"/>
      <c r="D124" s="3">
        <v>52622.98</v>
      </c>
      <c r="E124" s="3"/>
      <c r="F124" s="20">
        <f t="shared" si="12"/>
        <v>1.9593314161295009E-2</v>
      </c>
      <c r="G124" s="3"/>
      <c r="H124" s="3">
        <v>12491</v>
      </c>
      <c r="I124" s="3"/>
      <c r="J124" s="20">
        <f t="shared" si="13"/>
        <v>2.2871829879875006E-2</v>
      </c>
      <c r="K124" s="3"/>
      <c r="L124" s="3">
        <f t="shared" si="14"/>
        <v>40131.980000000003</v>
      </c>
      <c r="M124" s="3"/>
      <c r="N124" s="20">
        <f t="shared" si="15"/>
        <v>3.2128716676006728</v>
      </c>
      <c r="O124" s="12"/>
      <c r="P124" s="3">
        <v>36324.61</v>
      </c>
      <c r="Q124" s="3"/>
      <c r="R124" s="20">
        <f t="shared" si="16"/>
        <v>2.32158273670003E-3</v>
      </c>
      <c r="S124" s="3"/>
      <c r="T124" s="3">
        <v>26686.29</v>
      </c>
      <c r="U124" s="3"/>
      <c r="V124" s="20">
        <f t="shared" si="17"/>
        <v>3.7316248958336523E-3</v>
      </c>
      <c r="W124" s="3"/>
      <c r="X124" s="3">
        <f t="shared" si="18"/>
        <v>9638.32</v>
      </c>
      <c r="Y124" s="3"/>
      <c r="Z124" s="20">
        <f t="shared" si="19"/>
        <v>0.36117122312618199</v>
      </c>
    </row>
    <row r="125" spans="1:26" s="69" customFormat="1" ht="15" hidden="1" customHeight="1" outlineLevel="1" x14ac:dyDescent="0.3">
      <c r="A125" s="42"/>
      <c r="B125" s="12" t="str">
        <f>CONCATENATE("          ","5081"," - ","PURCHASES @ COST-ELECTRONICS")</f>
        <v xml:space="preserve">          5081 - PURCHASES @ COST-ELECTRONICS</v>
      </c>
      <c r="C125" s="12"/>
      <c r="D125" s="3"/>
      <c r="E125" s="3"/>
      <c r="F125" s="20">
        <f t="shared" si="12"/>
        <v>0</v>
      </c>
      <c r="G125" s="3"/>
      <c r="H125" s="3">
        <v>6584.13</v>
      </c>
      <c r="I125" s="3"/>
      <c r="J125" s="20">
        <f t="shared" si="13"/>
        <v>1.2055968398605512E-2</v>
      </c>
      <c r="K125" s="3"/>
      <c r="L125" s="3">
        <f t="shared" si="14"/>
        <v>-6584.13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32157.9</v>
      </c>
      <c r="U125" s="3"/>
      <c r="V125" s="20">
        <f t="shared" si="17"/>
        <v>4.4967367227789629E-3</v>
      </c>
      <c r="W125" s="3"/>
      <c r="X125" s="3">
        <f t="shared" si="18"/>
        <v>-32157.9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","5082"," - ","PURCHASES @ COST-COMPUTER HARD")</f>
        <v xml:space="preserve">          5082 - PURCHASES @ COST-COMPUTER HARD</v>
      </c>
      <c r="C126" s="12"/>
      <c r="D126" s="3"/>
      <c r="E126" s="3"/>
      <c r="F126" s="20">
        <f t="shared" si="12"/>
        <v>0</v>
      </c>
      <c r="G126" s="3"/>
      <c r="H126" s="3">
        <v>184376.31</v>
      </c>
      <c r="I126" s="3"/>
      <c r="J126" s="20">
        <f t="shared" si="13"/>
        <v>0.33760496326948181</v>
      </c>
      <c r="K126" s="3"/>
      <c r="L126" s="3">
        <f t="shared" si="14"/>
        <v>-184376.31</v>
      </c>
      <c r="M126" s="3"/>
      <c r="N126" s="20">
        <f t="shared" si="15"/>
        <v>-1</v>
      </c>
      <c r="O126" s="12"/>
      <c r="P126" s="3">
        <v>-93808.4</v>
      </c>
      <c r="Q126" s="3"/>
      <c r="R126" s="20">
        <f t="shared" si="16"/>
        <v>-5.9954934684075369E-3</v>
      </c>
      <c r="S126" s="3"/>
      <c r="T126" s="3">
        <v>1263577.8400000001</v>
      </c>
      <c r="U126" s="3"/>
      <c r="V126" s="20">
        <f t="shared" si="17"/>
        <v>0.17668992301169295</v>
      </c>
      <c r="W126" s="3"/>
      <c r="X126" s="3">
        <f t="shared" si="18"/>
        <v>-1357386.24</v>
      </c>
      <c r="Y126" s="3"/>
      <c r="Z126" s="20">
        <f t="shared" si="19"/>
        <v>-1.0742403016501143</v>
      </c>
    </row>
    <row r="127" spans="1:26" s="69" customFormat="1" ht="15" hidden="1" customHeight="1" outlineLevel="1" x14ac:dyDescent="0.3">
      <c r="A127" s="42"/>
      <c r="B127" s="12" t="str">
        <f>CONCATENATE("          ","5083"," - ","PURCHASES @ COST-COMPUTER EQUI")</f>
        <v xml:space="preserve">          5083 - PURCHASES @ COST-COMPUTER EQUI</v>
      </c>
      <c r="C127" s="12"/>
      <c r="D127" s="3"/>
      <c r="E127" s="3"/>
      <c r="F127" s="20">
        <f t="shared" si="12"/>
        <v>0</v>
      </c>
      <c r="G127" s="3"/>
      <c r="H127" s="3">
        <v>8631.6</v>
      </c>
      <c r="I127" s="3"/>
      <c r="J127" s="20">
        <f t="shared" si="13"/>
        <v>1.5805018556651118E-2</v>
      </c>
      <c r="K127" s="3"/>
      <c r="L127" s="3">
        <f t="shared" si="14"/>
        <v>-8631.6</v>
      </c>
      <c r="M127" s="3"/>
      <c r="N127" s="20">
        <f t="shared" si="15"/>
        <v>-1</v>
      </c>
      <c r="O127" s="12"/>
      <c r="P127" s="3">
        <v>0</v>
      </c>
      <c r="Q127" s="3"/>
      <c r="R127" s="20">
        <f t="shared" si="16"/>
        <v>0</v>
      </c>
      <c r="S127" s="3"/>
      <c r="T127" s="3">
        <v>99188.27</v>
      </c>
      <c r="U127" s="3"/>
      <c r="V127" s="20">
        <f t="shared" si="17"/>
        <v>1.3869796727333406E-2</v>
      </c>
      <c r="W127" s="3"/>
      <c r="X127" s="3">
        <f t="shared" si="18"/>
        <v>-99188.27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","5085"," - ","PURCHASES @ COST-SOFTWARE")</f>
        <v xml:space="preserve">          5085 - PURCHASES @ COST-SOFTWARE</v>
      </c>
      <c r="C128" s="12"/>
      <c r="D128" s="3"/>
      <c r="E128" s="3"/>
      <c r="F128" s="20">
        <f t="shared" si="12"/>
        <v>0</v>
      </c>
      <c r="G128" s="3"/>
      <c r="H128" s="3">
        <v>1399.23</v>
      </c>
      <c r="I128" s="3"/>
      <c r="J128" s="20">
        <f t="shared" si="13"/>
        <v>2.5620807399581703E-3</v>
      </c>
      <c r="K128" s="3"/>
      <c r="L128" s="3">
        <f t="shared" si="14"/>
        <v>-1399.23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30145.45</v>
      </c>
      <c r="U128" s="3"/>
      <c r="V128" s="20">
        <f t="shared" si="17"/>
        <v>4.2153297335863682E-3</v>
      </c>
      <c r="W128" s="3"/>
      <c r="X128" s="3">
        <f t="shared" si="18"/>
        <v>-30145.45</v>
      </c>
      <c r="Y128" s="3"/>
      <c r="Z128" s="20">
        <f t="shared" si="19"/>
        <v>-1</v>
      </c>
    </row>
    <row r="129" spans="1:26" s="69" customFormat="1" ht="15" hidden="1" customHeight="1" outlineLevel="1" x14ac:dyDescent="0.3">
      <c r="A129" s="42"/>
      <c r="B129" s="12" t="str">
        <f>CONCATENATE("          ","5086"," - ","PURCHASES @ COST-COMPUTER SUPP")</f>
        <v xml:space="preserve">          5086 - PURCHASES @ COST-COMPUTER SUPP</v>
      </c>
      <c r="C129" s="12"/>
      <c r="D129" s="3"/>
      <c r="E129" s="3"/>
      <c r="F129" s="20">
        <f t="shared" si="12"/>
        <v>0</v>
      </c>
      <c r="G129" s="3"/>
      <c r="H129" s="3">
        <v>398.64</v>
      </c>
      <c r="I129" s="3"/>
      <c r="J129" s="20">
        <f t="shared" si="13"/>
        <v>7.2993565473648012E-4</v>
      </c>
      <c r="K129" s="3"/>
      <c r="L129" s="3">
        <f t="shared" si="14"/>
        <v>-398.64</v>
      </c>
      <c r="M129" s="3"/>
      <c r="N129" s="20">
        <f t="shared" si="15"/>
        <v>-1</v>
      </c>
      <c r="O129" s="12"/>
      <c r="P129" s="3">
        <v>0</v>
      </c>
      <c r="Q129" s="3"/>
      <c r="R129" s="20">
        <f t="shared" si="16"/>
        <v>0</v>
      </c>
      <c r="S129" s="3"/>
      <c r="T129" s="3">
        <v>23138.49</v>
      </c>
      <c r="U129" s="3"/>
      <c r="V129" s="20">
        <f t="shared" si="17"/>
        <v>3.2355252579507306E-3</v>
      </c>
      <c r="W129" s="3"/>
      <c r="X129" s="3">
        <f t="shared" si="18"/>
        <v>-23138.49</v>
      </c>
      <c r="Y129" s="3"/>
      <c r="Z129" s="20">
        <f t="shared" si="19"/>
        <v>-1</v>
      </c>
    </row>
    <row r="130" spans="1:26" s="69" customFormat="1" ht="15" hidden="1" customHeight="1" outlineLevel="1" x14ac:dyDescent="0.3">
      <c r="A130" s="42"/>
      <c r="B130" s="12" t="str">
        <f>CONCATENATE("          ","5092"," - ","PURCHASES @ COST-GRAD MERCH")</f>
        <v xml:space="preserve">          5092 - PURCHASES @ COST-GRAD MERCH</v>
      </c>
      <c r="C130" s="12"/>
      <c r="D130" s="3"/>
      <c r="E130" s="3"/>
      <c r="F130" s="20">
        <f t="shared" si="12"/>
        <v>0</v>
      </c>
      <c r="G130" s="3"/>
      <c r="H130" s="3"/>
      <c r="I130" s="3"/>
      <c r="J130" s="20">
        <f t="shared" si="13"/>
        <v>0</v>
      </c>
      <c r="K130" s="3"/>
      <c r="L130" s="3">
        <f t="shared" si="14"/>
        <v>0</v>
      </c>
      <c r="M130" s="3"/>
      <c r="N130" s="20">
        <f t="shared" si="15"/>
        <v>0</v>
      </c>
      <c r="O130" s="12"/>
      <c r="P130" s="3"/>
      <c r="Q130" s="3"/>
      <c r="R130" s="20">
        <f t="shared" si="16"/>
        <v>0</v>
      </c>
      <c r="S130" s="3"/>
      <c r="T130" s="3">
        <v>0</v>
      </c>
      <c r="U130" s="3"/>
      <c r="V130" s="20">
        <f t="shared" si="17"/>
        <v>0</v>
      </c>
      <c r="W130" s="3"/>
      <c r="X130" s="3">
        <f t="shared" si="18"/>
        <v>0</v>
      </c>
      <c r="Y130" s="3"/>
      <c r="Z130" s="20">
        <f t="shared" si="19"/>
        <v>0</v>
      </c>
    </row>
    <row r="131" spans="1:26" s="69" customFormat="1" ht="15" hidden="1" customHeight="1" outlineLevel="1" x14ac:dyDescent="0.3">
      <c r="A131" s="42"/>
      <c r="B131" s="12" t="str">
        <f>CONCATENATE("          ","5200"," - ","PURCHASES OFFSET")</f>
        <v xml:space="preserve">          5200 - PURCHASES OFFSET</v>
      </c>
      <c r="C131" s="12"/>
      <c r="D131" s="3">
        <v>-536671.35</v>
      </c>
      <c r="E131" s="3"/>
      <c r="F131" s="20">
        <f t="shared" si="12"/>
        <v>-0.19982088361237446</v>
      </c>
      <c r="G131" s="3"/>
      <c r="H131" s="3">
        <v>-46641.74</v>
      </c>
      <c r="I131" s="3"/>
      <c r="J131" s="20">
        <f t="shared" si="13"/>
        <v>-8.5404046319859206E-2</v>
      </c>
      <c r="K131" s="3"/>
      <c r="L131" s="3">
        <f t="shared" si="14"/>
        <v>-490029.61</v>
      </c>
      <c r="M131" s="3"/>
      <c r="N131" s="20">
        <f t="shared" si="15"/>
        <v>10.506246336435991</v>
      </c>
      <c r="O131" s="12"/>
      <c r="P131" s="3">
        <v>-4386453.21</v>
      </c>
      <c r="Q131" s="3"/>
      <c r="R131" s="20">
        <f t="shared" si="16"/>
        <v>-0.28034751227001287</v>
      </c>
      <c r="S131" s="3"/>
      <c r="T131" s="3">
        <v>-3425688.92</v>
      </c>
      <c r="U131" s="3"/>
      <c r="V131" s="20">
        <f t="shared" si="17"/>
        <v>-0.47902447508640189</v>
      </c>
      <c r="W131" s="3"/>
      <c r="X131" s="3">
        <f t="shared" si="18"/>
        <v>-960764.29</v>
      </c>
      <c r="Y131" s="3"/>
      <c r="Z131" s="20">
        <f t="shared" si="19"/>
        <v>0.28045870843403964</v>
      </c>
    </row>
    <row r="132" spans="1:26" s="69" customFormat="1" ht="15" hidden="1" customHeight="1" outlineLevel="1" x14ac:dyDescent="0.3">
      <c r="A132" s="42"/>
      <c r="B132" s="12" t="str">
        <f>CONCATENATE("          ","5300"," - ","COG$ OFFSET")</f>
        <v xml:space="preserve">          5300 - COG$ OFFSET</v>
      </c>
      <c r="C132" s="12"/>
      <c r="D132" s="3">
        <v>513873.01</v>
      </c>
      <c r="E132" s="3"/>
      <c r="F132" s="20">
        <f t="shared" si="12"/>
        <v>0.19133229102457314</v>
      </c>
      <c r="G132" s="3"/>
      <c r="H132" s="3">
        <v>286283</v>
      </c>
      <c r="I132" s="3"/>
      <c r="J132" s="20">
        <f t="shared" si="13"/>
        <v>0.52420271183253997</v>
      </c>
      <c r="K132" s="3"/>
      <c r="L132" s="3">
        <f t="shared" si="14"/>
        <v>227590.01</v>
      </c>
      <c r="M132" s="3"/>
      <c r="N132" s="20">
        <f t="shared" si="15"/>
        <v>0.79498262209072845</v>
      </c>
      <c r="O132" s="12"/>
      <c r="P132" s="3">
        <v>3937005.84</v>
      </c>
      <c r="Q132" s="3"/>
      <c r="R132" s="20">
        <f t="shared" si="16"/>
        <v>0.25162237921979619</v>
      </c>
      <c r="S132" s="3"/>
      <c r="T132" s="3">
        <v>3584463</v>
      </c>
      <c r="U132" s="3"/>
      <c r="V132" s="20">
        <f t="shared" si="17"/>
        <v>0.50122633640699321</v>
      </c>
      <c r="W132" s="3"/>
      <c r="X132" s="3">
        <f t="shared" si="18"/>
        <v>352542.83999999985</v>
      </c>
      <c r="Y132" s="3"/>
      <c r="Z132" s="20">
        <f t="shared" si="19"/>
        <v>9.8353042003781282E-2</v>
      </c>
    </row>
    <row r="133" spans="1:26" s="69" customFormat="1" ht="15" hidden="1" customHeight="1" outlineLevel="1" x14ac:dyDescent="0.3">
      <c r="A133" s="42"/>
      <c r="B133" s="12" t="str">
        <f>CONCATENATE("          ","5500"," - ","FREIGHT-IN")</f>
        <v xml:space="preserve">          5500 - FREIGHT-IN</v>
      </c>
      <c r="C133" s="12"/>
      <c r="D133" s="3">
        <v>31628.22</v>
      </c>
      <c r="E133" s="3"/>
      <c r="F133" s="20">
        <f t="shared" si="12"/>
        <v>1.1776255370230915E-2</v>
      </c>
      <c r="G133" s="3"/>
      <c r="H133" s="3">
        <v>0</v>
      </c>
      <c r="I133" s="3"/>
      <c r="J133" s="20">
        <f t="shared" si="13"/>
        <v>0</v>
      </c>
      <c r="K133" s="3"/>
      <c r="L133" s="3">
        <f t="shared" si="14"/>
        <v>31628.22</v>
      </c>
      <c r="M133" s="3"/>
      <c r="N133" s="20">
        <f t="shared" si="15"/>
        <v>0</v>
      </c>
      <c r="O133" s="12"/>
      <c r="P133" s="3">
        <v>123882.42</v>
      </c>
      <c r="Q133" s="3"/>
      <c r="R133" s="20">
        <f t="shared" si="16"/>
        <v>7.9175877635746829E-3</v>
      </c>
      <c r="S133" s="3"/>
      <c r="T133" s="3">
        <v>0</v>
      </c>
      <c r="U133" s="3"/>
      <c r="V133" s="20">
        <f t="shared" si="17"/>
        <v>0</v>
      </c>
      <c r="W133" s="3"/>
      <c r="X133" s="3">
        <f t="shared" si="18"/>
        <v>123882.42</v>
      </c>
      <c r="Y133" s="3"/>
      <c r="Z133" s="20">
        <f t="shared" si="19"/>
        <v>0</v>
      </c>
    </row>
    <row r="134" spans="1:26" s="69" customFormat="1" ht="15" hidden="1" customHeight="1" outlineLevel="1" x14ac:dyDescent="0.3">
      <c r="A134" s="42"/>
      <c r="B134" s="12" t="str">
        <f>CONCATENATE("          ","5501"," - ","FREIGHT-IN-NEW TEXT")</f>
        <v xml:space="preserve">          5501 - FREIGHT-IN-NEW TEXT</v>
      </c>
      <c r="C134" s="12"/>
      <c r="D134" s="3"/>
      <c r="E134" s="3"/>
      <c r="F134" s="20">
        <f t="shared" ref="F134:F153" si="20">IF(D$12=0,0,D134/D$12)</f>
        <v>0</v>
      </c>
      <c r="G134" s="3"/>
      <c r="H134" s="3">
        <v>4638.13</v>
      </c>
      <c r="I134" s="3"/>
      <c r="J134" s="20">
        <f t="shared" ref="J134:J153" si="21">IF(H$12=0,0,H134/H$12)</f>
        <v>8.4927163814542215E-3</v>
      </c>
      <c r="K134" s="3"/>
      <c r="L134" s="3">
        <f t="shared" ref="L134:L153" si="22">+D134-H134</f>
        <v>-4638.13</v>
      </c>
      <c r="M134" s="3"/>
      <c r="N134" s="20">
        <f t="shared" ref="N134:N153" si="23">IF(H134=0,0,L134/H134)</f>
        <v>-1</v>
      </c>
      <c r="O134" s="12"/>
      <c r="P134" s="3">
        <v>0</v>
      </c>
      <c r="Q134" s="3"/>
      <c r="R134" s="20">
        <f t="shared" ref="R134:R153" si="24">IF(P$12=0,0,P134/P$12)</f>
        <v>0</v>
      </c>
      <c r="S134" s="3"/>
      <c r="T134" s="3">
        <v>49256.92</v>
      </c>
      <c r="U134" s="3"/>
      <c r="V134" s="20">
        <f t="shared" ref="V134:V153" si="25">IF(T$12=0,0,T134/T$12)</f>
        <v>6.8877445671199156E-3</v>
      </c>
      <c r="W134" s="3"/>
      <c r="X134" s="3">
        <f t="shared" ref="X134:X153" si="26">+P134-T134</f>
        <v>-49256.92</v>
      </c>
      <c r="Y134" s="3"/>
      <c r="Z134" s="20">
        <f t="shared" ref="Z134:Z153" si="27">IF(T134=0,0,X134/T134)</f>
        <v>-1</v>
      </c>
    </row>
    <row r="135" spans="1:26" s="69" customFormat="1" ht="15" hidden="1" customHeight="1" outlineLevel="1" x14ac:dyDescent="0.3">
      <c r="A135" s="42"/>
      <c r="B135" s="12" t="str">
        <f>CONCATENATE("          ","5502"," - ","FREIGHT-IN-USED TEXT")</f>
        <v xml:space="preserve">          5502 - FREIGHT-IN-USED TEXT</v>
      </c>
      <c r="C135" s="12"/>
      <c r="D135" s="3"/>
      <c r="E135" s="3"/>
      <c r="F135" s="20">
        <f t="shared" si="20"/>
        <v>0</v>
      </c>
      <c r="G135" s="3"/>
      <c r="H135" s="3">
        <v>1484.45</v>
      </c>
      <c r="I135" s="3"/>
      <c r="J135" s="20">
        <f t="shared" si="21"/>
        <v>2.7181240785509931E-3</v>
      </c>
      <c r="K135" s="3"/>
      <c r="L135" s="3">
        <f t="shared" si="22"/>
        <v>-1484.45</v>
      </c>
      <c r="M135" s="3"/>
      <c r="N135" s="20">
        <f t="shared" si="23"/>
        <v>-1</v>
      </c>
      <c r="O135" s="12"/>
      <c r="P135" s="3">
        <v>0</v>
      </c>
      <c r="Q135" s="3"/>
      <c r="R135" s="20">
        <f t="shared" si="24"/>
        <v>0</v>
      </c>
      <c r="S135" s="3"/>
      <c r="T135" s="3">
        <v>17136.759999999998</v>
      </c>
      <c r="U135" s="3"/>
      <c r="V135" s="20">
        <f t="shared" si="25"/>
        <v>2.3962851430425992E-3</v>
      </c>
      <c r="W135" s="3"/>
      <c r="X135" s="3">
        <f t="shared" si="26"/>
        <v>-17136.759999999998</v>
      </c>
      <c r="Y135" s="3"/>
      <c r="Z135" s="20">
        <f t="shared" si="27"/>
        <v>-1</v>
      </c>
    </row>
    <row r="136" spans="1:26" s="69" customFormat="1" ht="15" hidden="1" customHeight="1" outlineLevel="1" x14ac:dyDescent="0.3">
      <c r="A136" s="42"/>
      <c r="B136" s="12" t="str">
        <f>CONCATENATE("          ","5504"," - ","FREIGHT-IN-DIGITAL TEXT")</f>
        <v xml:space="preserve">          5504 - FREIGHT-IN-DIGITAL TEXT</v>
      </c>
      <c r="C136" s="12"/>
      <c r="D136" s="3"/>
      <c r="E136" s="3"/>
      <c r="F136" s="20">
        <f t="shared" si="20"/>
        <v>0</v>
      </c>
      <c r="G136" s="3"/>
      <c r="H136" s="3">
        <v>6.94</v>
      </c>
      <c r="I136" s="3"/>
      <c r="J136" s="20">
        <f t="shared" si="21"/>
        <v>1.2707589413684457E-5</v>
      </c>
      <c r="K136" s="3"/>
      <c r="L136" s="3">
        <f t="shared" si="22"/>
        <v>-6.94</v>
      </c>
      <c r="M136" s="3"/>
      <c r="N136" s="20">
        <f t="shared" si="23"/>
        <v>-1</v>
      </c>
      <c r="O136" s="12"/>
      <c r="P136" s="3"/>
      <c r="Q136" s="3"/>
      <c r="R136" s="20">
        <f t="shared" si="24"/>
        <v>0</v>
      </c>
      <c r="S136" s="3"/>
      <c r="T136" s="3">
        <v>28.92</v>
      </c>
      <c r="U136" s="3"/>
      <c r="V136" s="20">
        <f t="shared" si="25"/>
        <v>4.0439713421202128E-6</v>
      </c>
      <c r="W136" s="3"/>
      <c r="X136" s="3">
        <f t="shared" si="26"/>
        <v>-28.92</v>
      </c>
      <c r="Y136" s="3"/>
      <c r="Z136" s="20">
        <f t="shared" si="27"/>
        <v>-1</v>
      </c>
    </row>
    <row r="137" spans="1:26" s="69" customFormat="1" ht="15" hidden="1" customHeight="1" outlineLevel="1" x14ac:dyDescent="0.3">
      <c r="A137" s="42"/>
      <c r="B137" s="12" t="str">
        <f>CONCATENATE("          ","5513"," - ","FREIGHT-IN-TRADE BOOKS")</f>
        <v xml:space="preserve">          5513 - FREIGHT-IN-TRADE BOOKS</v>
      </c>
      <c r="C137" s="12"/>
      <c r="D137" s="3"/>
      <c r="E137" s="3"/>
      <c r="F137" s="20">
        <f t="shared" si="20"/>
        <v>0</v>
      </c>
      <c r="G137" s="3"/>
      <c r="H137" s="3"/>
      <c r="I137" s="3"/>
      <c r="J137" s="20">
        <f t="shared" si="21"/>
        <v>0</v>
      </c>
      <c r="K137" s="3"/>
      <c r="L137" s="3">
        <f t="shared" si="22"/>
        <v>0</v>
      </c>
      <c r="M137" s="3"/>
      <c r="N137" s="20">
        <f t="shared" si="23"/>
        <v>0</v>
      </c>
      <c r="O137" s="12"/>
      <c r="P137" s="3"/>
      <c r="Q137" s="3"/>
      <c r="R137" s="20">
        <f t="shared" si="24"/>
        <v>0</v>
      </c>
      <c r="S137" s="3"/>
      <c r="T137" s="3">
        <v>33.520000000000003</v>
      </c>
      <c r="U137" s="3"/>
      <c r="V137" s="20">
        <f t="shared" si="25"/>
        <v>4.6872032983357381E-6</v>
      </c>
      <c r="W137" s="3"/>
      <c r="X137" s="3">
        <f t="shared" si="26"/>
        <v>-33.520000000000003</v>
      </c>
      <c r="Y137" s="3"/>
      <c r="Z137" s="20">
        <f t="shared" si="27"/>
        <v>-1</v>
      </c>
    </row>
    <row r="138" spans="1:26" s="69" customFormat="1" ht="15" hidden="1" customHeight="1" outlineLevel="1" x14ac:dyDescent="0.3">
      <c r="A138" s="42"/>
      <c r="B138" s="12" t="str">
        <f>CONCATENATE("          ","5518"," - ","FREIGHT-IN-STUDY GUIDES")</f>
        <v xml:space="preserve">          5518 - FREIGHT-IN-STUDY GUIDES</v>
      </c>
      <c r="C138" s="12"/>
      <c r="D138" s="3"/>
      <c r="E138" s="3"/>
      <c r="F138" s="20">
        <f t="shared" si="20"/>
        <v>0</v>
      </c>
      <c r="G138" s="3"/>
      <c r="H138" s="3"/>
      <c r="I138" s="3"/>
      <c r="J138" s="20">
        <f t="shared" si="21"/>
        <v>0</v>
      </c>
      <c r="K138" s="3"/>
      <c r="L138" s="3">
        <f t="shared" si="22"/>
        <v>0</v>
      </c>
      <c r="M138" s="3"/>
      <c r="N138" s="20">
        <f t="shared" si="23"/>
        <v>0</v>
      </c>
      <c r="O138" s="12"/>
      <c r="P138" s="3">
        <v>0</v>
      </c>
      <c r="Q138" s="3"/>
      <c r="R138" s="20">
        <f t="shared" si="24"/>
        <v>0</v>
      </c>
      <c r="S138" s="3"/>
      <c r="T138" s="3"/>
      <c r="U138" s="3"/>
      <c r="V138" s="20">
        <f t="shared" si="25"/>
        <v>0</v>
      </c>
      <c r="W138" s="3"/>
      <c r="X138" s="3">
        <f t="shared" si="26"/>
        <v>0</v>
      </c>
      <c r="Y138" s="3"/>
      <c r="Z138" s="20">
        <f t="shared" si="27"/>
        <v>0</v>
      </c>
    </row>
    <row r="139" spans="1:26" s="69" customFormat="1" ht="15" hidden="1" customHeight="1" outlineLevel="1" x14ac:dyDescent="0.3">
      <c r="A139" s="42"/>
      <c r="B139" s="12" t="str">
        <f>CONCATENATE("          ","5525"," - ","FREIGHT-IN-TEST FORMS")</f>
        <v xml:space="preserve">          5525 - FREIGHT-IN-TEST FORMS</v>
      </c>
      <c r="C139" s="12"/>
      <c r="D139" s="3"/>
      <c r="E139" s="3"/>
      <c r="F139" s="20">
        <f t="shared" si="20"/>
        <v>0</v>
      </c>
      <c r="G139" s="3"/>
      <c r="H139" s="3"/>
      <c r="I139" s="3"/>
      <c r="J139" s="20">
        <f t="shared" si="21"/>
        <v>0</v>
      </c>
      <c r="K139" s="3"/>
      <c r="L139" s="3">
        <f t="shared" si="22"/>
        <v>0</v>
      </c>
      <c r="M139" s="3"/>
      <c r="N139" s="20">
        <f t="shared" si="23"/>
        <v>0</v>
      </c>
      <c r="O139" s="12"/>
      <c r="P139" s="3"/>
      <c r="Q139" s="3"/>
      <c r="R139" s="20">
        <f t="shared" si="24"/>
        <v>0</v>
      </c>
      <c r="S139" s="3"/>
      <c r="T139" s="3">
        <v>48.14</v>
      </c>
      <c r="U139" s="3"/>
      <c r="V139" s="20">
        <f t="shared" si="25"/>
        <v>6.7315622548294279E-6</v>
      </c>
      <c r="W139" s="3"/>
      <c r="X139" s="3">
        <f t="shared" si="26"/>
        <v>-48.14</v>
      </c>
      <c r="Y139" s="3"/>
      <c r="Z139" s="20">
        <f t="shared" si="27"/>
        <v>-1</v>
      </c>
    </row>
    <row r="140" spans="1:26" s="69" customFormat="1" ht="15" hidden="1" customHeight="1" outlineLevel="1" x14ac:dyDescent="0.3">
      <c r="A140" s="42"/>
      <c r="B140" s="12" t="str">
        <f>CONCATENATE("          ","5526"," - ","FREIGHT-IN-WRITING INSTRUMENTS")</f>
        <v xml:space="preserve">          5526 - FREIGHT-IN-WRITING INSTRUMENTS</v>
      </c>
      <c r="C140" s="12"/>
      <c r="D140" s="3"/>
      <c r="E140" s="3"/>
      <c r="F140" s="20">
        <f t="shared" si="20"/>
        <v>0</v>
      </c>
      <c r="G140" s="3"/>
      <c r="H140" s="3"/>
      <c r="I140" s="3"/>
      <c r="J140" s="20">
        <f t="shared" si="21"/>
        <v>0</v>
      </c>
      <c r="K140" s="3"/>
      <c r="L140" s="3">
        <f t="shared" si="22"/>
        <v>0</v>
      </c>
      <c r="M140" s="3"/>
      <c r="N140" s="20">
        <f t="shared" si="23"/>
        <v>0</v>
      </c>
      <c r="O140" s="12"/>
      <c r="P140" s="3"/>
      <c r="Q140" s="3"/>
      <c r="R140" s="20">
        <f t="shared" si="24"/>
        <v>0</v>
      </c>
      <c r="S140" s="3"/>
      <c r="T140" s="3">
        <v>0</v>
      </c>
      <c r="U140" s="3"/>
      <c r="V140" s="20">
        <f t="shared" si="25"/>
        <v>0</v>
      </c>
      <c r="W140" s="3"/>
      <c r="X140" s="3">
        <f t="shared" si="26"/>
        <v>0</v>
      </c>
      <c r="Y140" s="3"/>
      <c r="Z140" s="20">
        <f t="shared" si="27"/>
        <v>0</v>
      </c>
    </row>
    <row r="141" spans="1:26" s="69" customFormat="1" ht="15" hidden="1" customHeight="1" outlineLevel="1" x14ac:dyDescent="0.3">
      <c r="A141" s="42"/>
      <c r="B141" s="12" t="str">
        <f>CONCATENATE("          ","5527"," - ","FREIGHT-IN-SCHOOL SUPPLIES")</f>
        <v xml:space="preserve">          5527 - FREIGHT-IN-SCHOOL SUPPLIES</v>
      </c>
      <c r="C141" s="12"/>
      <c r="D141" s="3"/>
      <c r="E141" s="3"/>
      <c r="F141" s="20">
        <f t="shared" si="20"/>
        <v>0</v>
      </c>
      <c r="G141" s="3"/>
      <c r="H141" s="3"/>
      <c r="I141" s="3"/>
      <c r="J141" s="20">
        <f t="shared" si="21"/>
        <v>0</v>
      </c>
      <c r="K141" s="3"/>
      <c r="L141" s="3">
        <f t="shared" si="22"/>
        <v>0</v>
      </c>
      <c r="M141" s="3"/>
      <c r="N141" s="20">
        <f t="shared" si="23"/>
        <v>0</v>
      </c>
      <c r="O141" s="12"/>
      <c r="P141" s="3">
        <v>0</v>
      </c>
      <c r="Q141" s="3"/>
      <c r="R141" s="20">
        <f t="shared" si="24"/>
        <v>0</v>
      </c>
      <c r="S141" s="3"/>
      <c r="T141" s="3">
        <v>177.5</v>
      </c>
      <c r="U141" s="3"/>
      <c r="V141" s="20">
        <f t="shared" si="25"/>
        <v>2.4820363527881666E-5</v>
      </c>
      <c r="W141" s="3"/>
      <c r="X141" s="3">
        <f t="shared" si="26"/>
        <v>-177.5</v>
      </c>
      <c r="Y141" s="3"/>
      <c r="Z141" s="20">
        <f t="shared" si="27"/>
        <v>-1</v>
      </c>
    </row>
    <row r="142" spans="1:26" s="69" customFormat="1" ht="15" hidden="1" customHeight="1" outlineLevel="1" x14ac:dyDescent="0.3">
      <c r="A142" s="42"/>
      <c r="B142" s="12" t="str">
        <f>CONCATENATE("          ","5528"," - ","FREIGHT-IN-ART/TECH")</f>
        <v xml:space="preserve">          5528 - FREIGHT-IN-ART/TECH</v>
      </c>
      <c r="C142" s="12"/>
      <c r="D142" s="3"/>
      <c r="E142" s="3"/>
      <c r="F142" s="20">
        <f t="shared" si="20"/>
        <v>0</v>
      </c>
      <c r="G142" s="3"/>
      <c r="H142" s="3">
        <v>12.76</v>
      </c>
      <c r="I142" s="3"/>
      <c r="J142" s="20">
        <f t="shared" si="21"/>
        <v>2.3364386299512057E-5</v>
      </c>
      <c r="K142" s="3"/>
      <c r="L142" s="3">
        <f t="shared" si="22"/>
        <v>-12.76</v>
      </c>
      <c r="M142" s="3"/>
      <c r="N142" s="20">
        <f t="shared" si="23"/>
        <v>-1</v>
      </c>
      <c r="O142" s="12"/>
      <c r="P142" s="3">
        <v>0</v>
      </c>
      <c r="Q142" s="3"/>
      <c r="R142" s="20">
        <f t="shared" si="24"/>
        <v>0</v>
      </c>
      <c r="S142" s="3"/>
      <c r="T142" s="3">
        <v>351.5</v>
      </c>
      <c r="U142" s="3"/>
      <c r="V142" s="20">
        <f t="shared" si="25"/>
        <v>4.9151311436903695E-5</v>
      </c>
      <c r="W142" s="3"/>
      <c r="X142" s="3">
        <f t="shared" si="26"/>
        <v>-351.5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","5540"," - ","FREIGHT-IN-LOGO CLOTHING")</f>
        <v xml:space="preserve">          5540 - FREIGHT-IN-LOGO CLOTHING</v>
      </c>
      <c r="C143" s="12"/>
      <c r="D143" s="3"/>
      <c r="E143" s="3"/>
      <c r="F143" s="20">
        <f t="shared" si="20"/>
        <v>0</v>
      </c>
      <c r="G143" s="3"/>
      <c r="H143" s="3">
        <v>150.6</v>
      </c>
      <c r="I143" s="3"/>
      <c r="J143" s="20">
        <f t="shared" si="21"/>
        <v>2.7575835240646672E-4</v>
      </c>
      <c r="K143" s="3"/>
      <c r="L143" s="3">
        <f t="shared" si="22"/>
        <v>-150.6</v>
      </c>
      <c r="M143" s="3"/>
      <c r="N143" s="20">
        <f t="shared" si="23"/>
        <v>-1</v>
      </c>
      <c r="O143" s="12"/>
      <c r="P143" s="3">
        <v>0</v>
      </c>
      <c r="Q143" s="3"/>
      <c r="R143" s="20">
        <f t="shared" si="24"/>
        <v>0</v>
      </c>
      <c r="S143" s="3"/>
      <c r="T143" s="3">
        <v>5941.23</v>
      </c>
      <c r="U143" s="3"/>
      <c r="V143" s="20">
        <f t="shared" si="25"/>
        <v>8.3078021635355707E-4</v>
      </c>
      <c r="W143" s="3"/>
      <c r="X143" s="3">
        <f t="shared" si="26"/>
        <v>-5941.23</v>
      </c>
      <c r="Y143" s="3"/>
      <c r="Z143" s="20">
        <f t="shared" si="27"/>
        <v>-1</v>
      </c>
    </row>
    <row r="144" spans="1:26" s="69" customFormat="1" ht="15" hidden="1" customHeight="1" outlineLevel="1" x14ac:dyDescent="0.3">
      <c r="A144" s="42"/>
      <c r="B144" s="12" t="str">
        <f>CONCATENATE("          ","5541"," - ","FREIGHT-IN-LOGO GIFTS")</f>
        <v xml:space="preserve">          5541 - FREIGHT-IN-LOGO GIFTS</v>
      </c>
      <c r="C144" s="12"/>
      <c r="D144" s="3"/>
      <c r="E144" s="3"/>
      <c r="F144" s="20">
        <f t="shared" si="20"/>
        <v>0</v>
      </c>
      <c r="G144" s="3"/>
      <c r="H144" s="3">
        <v>375.06</v>
      </c>
      <c r="I144" s="3"/>
      <c r="J144" s="20">
        <f t="shared" si="21"/>
        <v>6.8675914776606523E-4</v>
      </c>
      <c r="K144" s="3"/>
      <c r="L144" s="3">
        <f t="shared" si="22"/>
        <v>-375.06</v>
      </c>
      <c r="M144" s="3"/>
      <c r="N144" s="20">
        <f t="shared" si="23"/>
        <v>-1</v>
      </c>
      <c r="O144" s="12"/>
      <c r="P144" s="3">
        <v>0</v>
      </c>
      <c r="Q144" s="3"/>
      <c r="R144" s="20">
        <f t="shared" si="24"/>
        <v>0</v>
      </c>
      <c r="S144" s="3"/>
      <c r="T144" s="3">
        <v>2077.9299999999998</v>
      </c>
      <c r="U144" s="3"/>
      <c r="V144" s="20">
        <f t="shared" si="25"/>
        <v>2.9056325625628814E-4</v>
      </c>
      <c r="W144" s="3"/>
      <c r="X144" s="3">
        <f t="shared" si="26"/>
        <v>-2077.9299999999998</v>
      </c>
      <c r="Y144" s="3"/>
      <c r="Z144" s="20">
        <f t="shared" si="27"/>
        <v>-1</v>
      </c>
    </row>
    <row r="145" spans="1:26" s="69" customFormat="1" ht="15" hidden="1" customHeight="1" outlineLevel="1" x14ac:dyDescent="0.3">
      <c r="A145" s="42"/>
      <c r="B145" s="12" t="str">
        <f>CONCATENATE("          ","5542"," - ","FREIGHT-IN-EVERYDAY GIFTS")</f>
        <v xml:space="preserve">          5542 - FREIGHT-IN-EVERYDAY GIFTS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>
        <v>0</v>
      </c>
      <c r="Q145" s="3"/>
      <c r="R145" s="20">
        <f t="shared" si="24"/>
        <v>0</v>
      </c>
      <c r="S145" s="3"/>
      <c r="T145" s="3">
        <v>383.93</v>
      </c>
      <c r="U145" s="3"/>
      <c r="V145" s="20">
        <f t="shared" si="25"/>
        <v>5.3686096728223149E-5</v>
      </c>
      <c r="W145" s="3"/>
      <c r="X145" s="3">
        <f t="shared" si="26"/>
        <v>-383.93</v>
      </c>
      <c r="Y145" s="3"/>
      <c r="Z145" s="20">
        <f t="shared" si="27"/>
        <v>-1</v>
      </c>
    </row>
    <row r="146" spans="1:26" s="69" customFormat="1" ht="15" hidden="1" customHeight="1" outlineLevel="1" x14ac:dyDescent="0.3">
      <c r="A146" s="42"/>
      <c r="B146" s="12" t="str">
        <f>CONCATENATE("          ","5543"," - ","FREIGHT-IN-CARDS")</f>
        <v xml:space="preserve">          5543 - FREIGHT-IN-CARDS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/>
      <c r="Q146" s="3"/>
      <c r="R146" s="20">
        <f t="shared" si="24"/>
        <v>0</v>
      </c>
      <c r="S146" s="3"/>
      <c r="T146" s="3">
        <v>9110.5300000000007</v>
      </c>
      <c r="U146" s="3"/>
      <c r="V146" s="20">
        <f t="shared" si="25"/>
        <v>1.2739530508826579E-3</v>
      </c>
      <c r="W146" s="3"/>
      <c r="X146" s="3">
        <f t="shared" si="26"/>
        <v>-9110.5300000000007</v>
      </c>
      <c r="Y146" s="3"/>
      <c r="Z146" s="20">
        <f t="shared" si="27"/>
        <v>-1</v>
      </c>
    </row>
    <row r="147" spans="1:26" s="69" customFormat="1" ht="15" hidden="1" customHeight="1" outlineLevel="1" x14ac:dyDescent="0.3">
      <c r="A147" s="42"/>
      <c r="B147" s="12" t="str">
        <f>CONCATENATE("          ","5544"," - ","FREIGHT-IN-ACCESSORIES")</f>
        <v xml:space="preserve">          5544 - FREIGHT-IN-ACCESSORIES</v>
      </c>
      <c r="C147" s="12"/>
      <c r="D147" s="3"/>
      <c r="E147" s="3"/>
      <c r="F147" s="20">
        <f t="shared" si="20"/>
        <v>0</v>
      </c>
      <c r="G147" s="3"/>
      <c r="H147" s="3"/>
      <c r="I147" s="3"/>
      <c r="J147" s="20">
        <f t="shared" si="21"/>
        <v>0</v>
      </c>
      <c r="K147" s="3"/>
      <c r="L147" s="3">
        <f t="shared" si="22"/>
        <v>0</v>
      </c>
      <c r="M147" s="3"/>
      <c r="N147" s="20">
        <f t="shared" si="23"/>
        <v>0</v>
      </c>
      <c r="O147" s="12"/>
      <c r="P147" s="3">
        <v>0</v>
      </c>
      <c r="Q147" s="3"/>
      <c r="R147" s="20">
        <f t="shared" si="24"/>
        <v>0</v>
      </c>
      <c r="S147" s="3"/>
      <c r="T147" s="3"/>
      <c r="U147" s="3"/>
      <c r="V147" s="20">
        <f t="shared" si="25"/>
        <v>0</v>
      </c>
      <c r="W147" s="3"/>
      <c r="X147" s="3">
        <f t="shared" si="26"/>
        <v>0</v>
      </c>
      <c r="Y147" s="3"/>
      <c r="Z147" s="20">
        <f t="shared" si="27"/>
        <v>0</v>
      </c>
    </row>
    <row r="148" spans="1:26" s="69" customFormat="1" ht="15" hidden="1" customHeight="1" outlineLevel="1" x14ac:dyDescent="0.3">
      <c r="A148" s="42"/>
      <c r="B148" s="12" t="str">
        <f>CONCATENATE("          ","5545"," - ","FREIGHT-IN-SPECIAL ORDERS")</f>
        <v xml:space="preserve">          5545 - FREIGHT-IN-SPECIAL ORDERS</v>
      </c>
      <c r="C148" s="12"/>
      <c r="D148" s="3"/>
      <c r="E148" s="3"/>
      <c r="F148" s="20">
        <f t="shared" si="20"/>
        <v>0</v>
      </c>
      <c r="G148" s="3"/>
      <c r="H148" s="3">
        <v>134.74</v>
      </c>
      <c r="I148" s="3"/>
      <c r="J148" s="20">
        <f t="shared" si="21"/>
        <v>2.4671766536020804E-4</v>
      </c>
      <c r="K148" s="3"/>
      <c r="L148" s="3">
        <f t="shared" si="22"/>
        <v>-134.74</v>
      </c>
      <c r="M148" s="3"/>
      <c r="N148" s="20">
        <f t="shared" si="23"/>
        <v>-1</v>
      </c>
      <c r="O148" s="12"/>
      <c r="P148" s="3">
        <v>0</v>
      </c>
      <c r="Q148" s="3"/>
      <c r="R148" s="20">
        <f t="shared" si="24"/>
        <v>0</v>
      </c>
      <c r="S148" s="3"/>
      <c r="T148" s="3">
        <v>1248.53</v>
      </c>
      <c r="U148" s="3"/>
      <c r="V148" s="20">
        <f t="shared" si="25"/>
        <v>1.7458573788994985E-4</v>
      </c>
      <c r="W148" s="3"/>
      <c r="X148" s="3">
        <f t="shared" si="26"/>
        <v>-1248.53</v>
      </c>
      <c r="Y148" s="3"/>
      <c r="Z148" s="20">
        <f t="shared" si="27"/>
        <v>-1</v>
      </c>
    </row>
    <row r="149" spans="1:26" s="69" customFormat="1" ht="15" hidden="1" customHeight="1" outlineLevel="1" x14ac:dyDescent="0.3">
      <c r="A149" s="42"/>
      <c r="B149" s="12" t="str">
        <f>CONCATENATE("          ","5581"," - ","FREIGHT-IN-ELECTRONICS")</f>
        <v xml:space="preserve">          5581 - FREIGHT-IN-ELECTRONICS</v>
      </c>
      <c r="C149" s="12"/>
      <c r="D149" s="3"/>
      <c r="E149" s="3"/>
      <c r="F149" s="20">
        <f t="shared" si="20"/>
        <v>0</v>
      </c>
      <c r="G149" s="3"/>
      <c r="H149" s="3"/>
      <c r="I149" s="3"/>
      <c r="J149" s="20">
        <f t="shared" si="21"/>
        <v>0</v>
      </c>
      <c r="K149" s="3"/>
      <c r="L149" s="3">
        <f t="shared" si="22"/>
        <v>0</v>
      </c>
      <c r="M149" s="3"/>
      <c r="N149" s="20">
        <f t="shared" si="23"/>
        <v>0</v>
      </c>
      <c r="O149" s="12"/>
      <c r="P149" s="3"/>
      <c r="Q149" s="3"/>
      <c r="R149" s="20">
        <f t="shared" si="24"/>
        <v>0</v>
      </c>
      <c r="S149" s="3"/>
      <c r="T149" s="3">
        <v>31</v>
      </c>
      <c r="U149" s="3"/>
      <c r="V149" s="20">
        <f t="shared" si="25"/>
        <v>4.3348240527567985E-6</v>
      </c>
      <c r="W149" s="3"/>
      <c r="X149" s="3">
        <f t="shared" si="26"/>
        <v>-31</v>
      </c>
      <c r="Y149" s="3"/>
      <c r="Z149" s="20">
        <f t="shared" si="27"/>
        <v>-1</v>
      </c>
    </row>
    <row r="150" spans="1:26" s="69" customFormat="1" ht="15" hidden="1" customHeight="1" outlineLevel="1" x14ac:dyDescent="0.3">
      <c r="A150" s="42"/>
      <c r="B150" s="12" t="str">
        <f>CONCATENATE("          ","5582"," - ","FREIGHT-IN-COMPUTER HARDWARE")</f>
        <v xml:space="preserve">          5582 - FREIGHT-IN-COMPUTER HARDWARE</v>
      </c>
      <c r="C150" s="12"/>
      <c r="D150" s="3"/>
      <c r="E150" s="3"/>
      <c r="F150" s="20">
        <f t="shared" si="20"/>
        <v>0</v>
      </c>
      <c r="G150" s="3"/>
      <c r="H150" s="3">
        <v>31</v>
      </c>
      <c r="I150" s="3"/>
      <c r="J150" s="20">
        <f t="shared" si="21"/>
        <v>5.6763007467466592E-5</v>
      </c>
      <c r="K150" s="3"/>
      <c r="L150" s="3">
        <f t="shared" si="22"/>
        <v>-31</v>
      </c>
      <c r="M150" s="3"/>
      <c r="N150" s="20">
        <f t="shared" si="23"/>
        <v>-1</v>
      </c>
      <c r="O150" s="12"/>
      <c r="P150" s="3"/>
      <c r="Q150" s="3"/>
      <c r="R150" s="20">
        <f t="shared" si="24"/>
        <v>0</v>
      </c>
      <c r="S150" s="3"/>
      <c r="T150" s="3">
        <v>125</v>
      </c>
      <c r="U150" s="3"/>
      <c r="V150" s="20">
        <f t="shared" si="25"/>
        <v>1.7479129244987088E-5</v>
      </c>
      <c r="W150" s="3"/>
      <c r="X150" s="3">
        <f t="shared" si="26"/>
        <v>-125</v>
      </c>
      <c r="Y150" s="3"/>
      <c r="Z150" s="20">
        <f t="shared" si="27"/>
        <v>-1</v>
      </c>
    </row>
    <row r="151" spans="1:26" s="69" customFormat="1" ht="15" hidden="1" customHeight="1" outlineLevel="1" x14ac:dyDescent="0.3">
      <c r="A151" s="42"/>
      <c r="B151" s="12" t="str">
        <f>CONCATENATE("          ","5583"," - ","FREIGHT-IN-COMPUTER EQUIPMENT")</f>
        <v xml:space="preserve">          5583 - FREIGHT-IN-COMPUTER EQUIPMENT</v>
      </c>
      <c r="C151" s="12"/>
      <c r="D151" s="3"/>
      <c r="E151" s="3"/>
      <c r="F151" s="20">
        <f t="shared" si="20"/>
        <v>0</v>
      </c>
      <c r="G151" s="3"/>
      <c r="H151" s="3"/>
      <c r="I151" s="3"/>
      <c r="J151" s="20">
        <f t="shared" si="21"/>
        <v>0</v>
      </c>
      <c r="K151" s="3"/>
      <c r="L151" s="3">
        <f t="shared" si="22"/>
        <v>0</v>
      </c>
      <c r="M151" s="3"/>
      <c r="N151" s="20">
        <f t="shared" si="23"/>
        <v>0</v>
      </c>
      <c r="O151" s="12"/>
      <c r="P151" s="3">
        <v>0</v>
      </c>
      <c r="Q151" s="3"/>
      <c r="R151" s="20">
        <f t="shared" si="24"/>
        <v>0</v>
      </c>
      <c r="S151" s="3"/>
      <c r="T151" s="3">
        <v>242.46</v>
      </c>
      <c r="U151" s="3"/>
      <c r="V151" s="20">
        <f t="shared" si="25"/>
        <v>3.390391741391656E-5</v>
      </c>
      <c r="W151" s="3"/>
      <c r="X151" s="3">
        <f t="shared" si="26"/>
        <v>-242.46</v>
      </c>
      <c r="Y151" s="3"/>
      <c r="Z151" s="20">
        <f t="shared" si="27"/>
        <v>-1</v>
      </c>
    </row>
    <row r="152" spans="1:26" s="69" customFormat="1" ht="15" hidden="1" customHeight="1" outlineLevel="1" x14ac:dyDescent="0.3">
      <c r="A152" s="42"/>
      <c r="B152" s="12" t="str">
        <f>CONCATENATE("          ","5586"," - ","FREIGHT-IN-COMPUTER SUPPLIES")</f>
        <v xml:space="preserve">          5586 - FREIGHT-IN-COMPUTER SUPPLIES</v>
      </c>
      <c r="C152" s="12"/>
      <c r="D152" s="3"/>
      <c r="E152" s="3"/>
      <c r="F152" s="20">
        <f t="shared" si="20"/>
        <v>0</v>
      </c>
      <c r="G152" s="3"/>
      <c r="H152" s="3"/>
      <c r="I152" s="3"/>
      <c r="J152" s="20">
        <f t="shared" si="21"/>
        <v>0</v>
      </c>
      <c r="K152" s="3"/>
      <c r="L152" s="3">
        <f t="shared" si="22"/>
        <v>0</v>
      </c>
      <c r="M152" s="3"/>
      <c r="N152" s="20">
        <f t="shared" si="23"/>
        <v>0</v>
      </c>
      <c r="O152" s="12"/>
      <c r="P152" s="3"/>
      <c r="Q152" s="3"/>
      <c r="R152" s="20">
        <f t="shared" si="24"/>
        <v>0</v>
      </c>
      <c r="S152" s="3"/>
      <c r="T152" s="3">
        <v>24.12</v>
      </c>
      <c r="U152" s="3"/>
      <c r="V152" s="20">
        <f t="shared" si="25"/>
        <v>3.3727727791127089E-6</v>
      </c>
      <c r="W152" s="3"/>
      <c r="X152" s="3">
        <f t="shared" si="26"/>
        <v>-24.12</v>
      </c>
      <c r="Y152" s="3"/>
      <c r="Z152" s="20">
        <f t="shared" si="27"/>
        <v>-1</v>
      </c>
    </row>
    <row r="153" spans="1:26" s="69" customFormat="1" ht="15" hidden="1" customHeight="1" outlineLevel="1" x14ac:dyDescent="0.3">
      <c r="A153" s="42"/>
      <c r="B153" s="12" t="str">
        <f>CONCATENATE("          ","5592"," - ","FREIGHT-IN-GRAD MERCH")</f>
        <v xml:space="preserve">          5592 - FREIGHT-IN-GRAD MERCH</v>
      </c>
      <c r="C153" s="12"/>
      <c r="D153" s="3"/>
      <c r="E153" s="3"/>
      <c r="F153" s="20">
        <f t="shared" si="20"/>
        <v>0</v>
      </c>
      <c r="G153" s="3"/>
      <c r="H153" s="3"/>
      <c r="I153" s="3"/>
      <c r="J153" s="20">
        <f t="shared" si="21"/>
        <v>0</v>
      </c>
      <c r="K153" s="3"/>
      <c r="L153" s="3">
        <f t="shared" si="22"/>
        <v>0</v>
      </c>
      <c r="M153" s="3"/>
      <c r="N153" s="20">
        <f t="shared" si="23"/>
        <v>0</v>
      </c>
      <c r="O153" s="12"/>
      <c r="P153" s="3"/>
      <c r="Q153" s="3"/>
      <c r="R153" s="20">
        <f t="shared" si="24"/>
        <v>0</v>
      </c>
      <c r="S153" s="3"/>
      <c r="T153" s="3">
        <v>0</v>
      </c>
      <c r="U153" s="3"/>
      <c r="V153" s="20">
        <f t="shared" si="25"/>
        <v>0</v>
      </c>
      <c r="W153" s="3"/>
      <c r="X153" s="3">
        <f t="shared" si="26"/>
        <v>0</v>
      </c>
      <c r="Y153" s="3"/>
      <c r="Z153" s="20">
        <f t="shared" si="27"/>
        <v>0</v>
      </c>
    </row>
    <row r="154" spans="1:26" ht="15" customHeight="1" x14ac:dyDescent="0.3">
      <c r="A154" s="10"/>
      <c r="B154" s="11"/>
      <c r="C154" s="11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O154" s="11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2" customFormat="1" ht="15" customHeight="1" x14ac:dyDescent="0.3">
      <c r="A155" s="11"/>
      <c r="B155" s="28" t="s">
        <v>288</v>
      </c>
      <c r="C155" s="28"/>
      <c r="D155" s="23">
        <f>D12-D102</f>
        <v>1704468.7400000002</v>
      </c>
      <c r="E155" s="15"/>
      <c r="F155" s="22">
        <f>IF(D$12=0,0,D155/D$12)</f>
        <v>0.63463132458341709</v>
      </c>
      <c r="G155" s="15"/>
      <c r="H155" s="23">
        <f>H12-H102</f>
        <v>190788.35000000009</v>
      </c>
      <c r="I155" s="15"/>
      <c r="J155" s="22">
        <f>IF(H$12=0,0,H155/H$12)</f>
        <v>0.34934582373405276</v>
      </c>
      <c r="K155" s="17"/>
      <c r="L155" s="23">
        <f>+D155-H155</f>
        <v>1513680.3900000001</v>
      </c>
      <c r="M155" s="17"/>
      <c r="N155" s="22">
        <f>IF(H155=0,0,L155/H155)</f>
        <v>7.9338198060835445</v>
      </c>
      <c r="O155" s="27"/>
      <c r="P155" s="23">
        <f>P12-P102</f>
        <v>9149865.3399999999</v>
      </c>
      <c r="Q155" s="15"/>
      <c r="R155" s="22">
        <f>IF(P$12=0,0,P155/P$12)</f>
        <v>0.58478726726794727</v>
      </c>
      <c r="S155" s="15"/>
      <c r="T155" s="23">
        <f>T12-T102</f>
        <v>2651395.7100000028</v>
      </c>
      <c r="U155" s="15"/>
      <c r="V155" s="22">
        <f>IF(T$12=0,0,T155/T$12)</f>
        <v>0.37075270635755486</v>
      </c>
      <c r="W155" s="17"/>
      <c r="X155" s="23">
        <f>+P155-T155</f>
        <v>6498469.6299999971</v>
      </c>
      <c r="Y155" s="17"/>
      <c r="Z155" s="22">
        <f>IF(T155=0,0,X155/T155)</f>
        <v>2.4509618106004969</v>
      </c>
    </row>
    <row r="156" spans="1:26" ht="15" customHeight="1" x14ac:dyDescent="0.3">
      <c r="A156" s="10"/>
      <c r="B156" s="11"/>
      <c r="C156" s="10"/>
      <c r="D156" s="2"/>
      <c r="E156" s="2"/>
      <c r="F156" s="6"/>
      <c r="G156" s="2"/>
      <c r="H156" s="2"/>
      <c r="I156" s="2"/>
      <c r="J156" s="6"/>
      <c r="K156" s="2"/>
      <c r="L156" s="2"/>
      <c r="M156" s="2"/>
      <c r="N156" s="6"/>
      <c r="O156" s="36"/>
      <c r="P156" s="2"/>
      <c r="Q156" s="2"/>
      <c r="R156" s="6"/>
      <c r="S156" s="2"/>
      <c r="T156" s="2"/>
      <c r="U156" s="2"/>
      <c r="V156" s="6"/>
      <c r="W156" s="2"/>
      <c r="X156" s="2"/>
      <c r="Y156" s="2"/>
      <c r="Z156" s="6"/>
    </row>
    <row r="157" spans="1:26" s="62" customFormat="1" ht="15" customHeight="1" x14ac:dyDescent="0.3">
      <c r="A157" s="11"/>
      <c r="B157" s="27" t="s">
        <v>289</v>
      </c>
      <c r="C157" s="11"/>
      <c r="D157" s="21" cm="1">
        <f t="array" ref="D157">SUM(OSRRefD22x_0)</f>
        <v>1143793.6199999996</v>
      </c>
      <c r="E157" s="21"/>
      <c r="F157" s="30">
        <f t="shared" ref="F157:F188" si="28">IF(D$12=0,0,D157/D$12)</f>
        <v>0.42587302604954858</v>
      </c>
      <c r="G157" s="21"/>
      <c r="H157" s="21" cm="1">
        <f t="array" ref="H157">SUM(OSRRefH22x_0)</f>
        <v>615195.79000000015</v>
      </c>
      <c r="I157" s="21"/>
      <c r="J157" s="30">
        <f t="shared" ref="J157:J188" si="29">IF(H$12=0,0,H157/H$12)</f>
        <v>1.1264633297330329</v>
      </c>
      <c r="K157" s="5"/>
      <c r="L157" s="21">
        <f t="shared" ref="L157:L188" si="30">+D157-H157</f>
        <v>528597.82999999949</v>
      </c>
      <c r="M157" s="5"/>
      <c r="N157" s="30">
        <f t="shared" ref="N157:N188" si="31">IF(H157=0,0,L157/H157)</f>
        <v>0.85923512252903966</v>
      </c>
      <c r="O157" s="11"/>
      <c r="P157" s="21" cm="1">
        <f t="array" ref="P157">SUM(OSRRefP22x_0)</f>
        <v>8196502.9300000016</v>
      </c>
      <c r="Q157" s="21"/>
      <c r="R157" s="30">
        <f t="shared" ref="R157:R188" si="32">IF(P$12=0,0,P157/P$12)</f>
        <v>0.52385585705116222</v>
      </c>
      <c r="S157" s="21"/>
      <c r="T157" s="21" cm="1">
        <f t="array" ref="T157">SUM(OSRRefT22x_0)</f>
        <v>5485281.3099999987</v>
      </c>
      <c r="U157" s="21"/>
      <c r="V157" s="30">
        <f t="shared" ref="V157:V188" si="33">IF(T$12=0,0,T157/T$12)</f>
        <v>0.7670235277008165</v>
      </c>
      <c r="W157" s="5"/>
      <c r="X157" s="21">
        <f t="shared" ref="X157:X188" si="34">+P157-T157</f>
        <v>2711221.6200000029</v>
      </c>
      <c r="Y157" s="5"/>
      <c r="Z157" s="30">
        <f t="shared" ref="Z157:Z188" si="35">IF(T157=0,0,X157/T157)</f>
        <v>0.49427211965542811</v>
      </c>
    </row>
    <row r="158" spans="1:26" s="68" customFormat="1" ht="15" customHeight="1" outlineLevel="1" collapsed="1" x14ac:dyDescent="0.3">
      <c r="A158" s="25"/>
      <c r="B158" s="14" t="str">
        <f>CONCATENATE("     ","*Benefits                                         ")</f>
        <v xml:space="preserve">     *Benefits                                         </v>
      </c>
      <c r="C158" s="14"/>
      <c r="D158" s="2">
        <f>SUM(OSRRefD22_0x_0)</f>
        <v>153782.93</v>
      </c>
      <c r="E158" s="2"/>
      <c r="F158" s="6">
        <f t="shared" si="28"/>
        <v>5.7258582849820341E-2</v>
      </c>
      <c r="G158" s="2"/>
      <c r="H158" s="2">
        <f>SUM(OSRRefH22_0x_0)</f>
        <v>145357.65</v>
      </c>
      <c r="I158" s="2"/>
      <c r="J158" s="6">
        <f t="shared" si="29"/>
        <v>0.26615927007752888</v>
      </c>
      <c r="K158" s="2"/>
      <c r="L158" s="2">
        <f t="shared" si="30"/>
        <v>8425.2799999999988</v>
      </c>
      <c r="M158" s="2"/>
      <c r="N158" s="6">
        <f t="shared" si="31"/>
        <v>5.7962412023034211E-2</v>
      </c>
      <c r="O158" s="14"/>
      <c r="P158" s="2">
        <f>SUM(OSRRefP22_0x_0)</f>
        <v>1381285.6300000001</v>
      </c>
      <c r="Q158" s="2"/>
      <c r="R158" s="6">
        <f t="shared" si="32"/>
        <v>8.8280889266528273E-2</v>
      </c>
      <c r="S158" s="2"/>
      <c r="T158" s="2">
        <f>SUM(OSRRefT22_0x_0)</f>
        <v>1240061.1199999999</v>
      </c>
      <c r="U158" s="2"/>
      <c r="V158" s="6">
        <f t="shared" si="33"/>
        <v>0.17340150870530754</v>
      </c>
      <c r="W158" s="2"/>
      <c r="X158" s="2">
        <f t="shared" si="34"/>
        <v>141224.51000000024</v>
      </c>
      <c r="Y158" s="2"/>
      <c r="Z158" s="6">
        <f t="shared" si="35"/>
        <v>0.11388512043664449</v>
      </c>
    </row>
    <row r="159" spans="1:26" s="69" customFormat="1" ht="15" hidden="1" customHeight="1" outlineLevel="2" x14ac:dyDescent="0.3">
      <c r="A159" s="26"/>
      <c r="B159" s="12" t="str">
        <f>CONCATENATE("          ","6111"," - ","F.I.C.A.")</f>
        <v xml:space="preserve">          6111 - F.I.C.A.</v>
      </c>
      <c r="C159" s="12"/>
      <c r="D159" s="8">
        <v>27551.31</v>
      </c>
      <c r="E159" s="3"/>
      <c r="F159" s="7">
        <f t="shared" si="28"/>
        <v>1.0258283973754979E-2</v>
      </c>
      <c r="G159" s="3"/>
      <c r="H159" s="8">
        <v>18392.79</v>
      </c>
      <c r="I159" s="3"/>
      <c r="J159" s="7">
        <f t="shared" si="29"/>
        <v>3.3678389552178868E-2</v>
      </c>
      <c r="K159" s="3"/>
      <c r="L159" s="8">
        <f t="shared" si="30"/>
        <v>9158.52</v>
      </c>
      <c r="M159" s="3"/>
      <c r="N159" s="7">
        <f t="shared" si="31"/>
        <v>0.497940769181837</v>
      </c>
      <c r="O159" s="12"/>
      <c r="P159" s="8">
        <v>215745.71</v>
      </c>
      <c r="Q159" s="3"/>
      <c r="R159" s="7">
        <f t="shared" si="32"/>
        <v>1.3788765133420318E-2</v>
      </c>
      <c r="S159" s="3"/>
      <c r="T159" s="8">
        <v>170766.83</v>
      </c>
      <c r="U159" s="3"/>
      <c r="V159" s="7">
        <f t="shared" si="33"/>
        <v>2.3878843938613906E-2</v>
      </c>
      <c r="W159" s="3"/>
      <c r="X159" s="8">
        <f t="shared" si="34"/>
        <v>44978.880000000005</v>
      </c>
      <c r="Y159" s="3"/>
      <c r="Z159" s="7">
        <f t="shared" si="35"/>
        <v>0.26339354077135474</v>
      </c>
    </row>
    <row r="160" spans="1:26" s="69" customFormat="1" ht="15" hidden="1" customHeight="1" outlineLevel="2" x14ac:dyDescent="0.3">
      <c r="A160" s="26"/>
      <c r="B160" s="12" t="str">
        <f>CONCATENATE("          ","6112"," - ","COMPENSATION INSURANCE")</f>
        <v xml:space="preserve">          6112 - COMPENSATION INSURANCE</v>
      </c>
      <c r="C160" s="12"/>
      <c r="D160" s="8">
        <v>15006.21</v>
      </c>
      <c r="E160" s="3"/>
      <c r="F160" s="7">
        <f t="shared" si="28"/>
        <v>5.5873192073190598E-3</v>
      </c>
      <c r="G160" s="3"/>
      <c r="H160" s="8">
        <v>7333.96</v>
      </c>
      <c r="I160" s="3"/>
      <c r="J160" s="7">
        <f t="shared" si="29"/>
        <v>1.3428955685358106E-2</v>
      </c>
      <c r="K160" s="3"/>
      <c r="L160" s="8">
        <f t="shared" si="30"/>
        <v>7672.2499999999991</v>
      </c>
      <c r="M160" s="3"/>
      <c r="N160" s="7">
        <f t="shared" si="31"/>
        <v>1.0461265128252675</v>
      </c>
      <c r="O160" s="12"/>
      <c r="P160" s="8">
        <v>98003.36</v>
      </c>
      <c r="Q160" s="3"/>
      <c r="R160" s="7">
        <f t="shared" si="32"/>
        <v>6.2636022441699517E-3</v>
      </c>
      <c r="S160" s="3"/>
      <c r="T160" s="8">
        <v>66487.740000000005</v>
      </c>
      <c r="U160" s="3"/>
      <c r="V160" s="7">
        <f t="shared" si="33"/>
        <v>9.2971824053367843E-3</v>
      </c>
      <c r="W160" s="3"/>
      <c r="X160" s="8">
        <f t="shared" si="34"/>
        <v>31515.619999999995</v>
      </c>
      <c r="Y160" s="3"/>
      <c r="Z160" s="7">
        <f t="shared" si="35"/>
        <v>0.47400648600779621</v>
      </c>
    </row>
    <row r="161" spans="1:26" s="69" customFormat="1" ht="15" hidden="1" customHeight="1" outlineLevel="2" x14ac:dyDescent="0.3">
      <c r="A161" s="26"/>
      <c r="B161" s="12" t="str">
        <f>CONCATENATE("          ","6113"," - ","GROUP INSURANCE")</f>
        <v xml:space="preserve">          6113 - GROUP INSURANCE</v>
      </c>
      <c r="C161" s="12"/>
      <c r="D161" s="8">
        <v>74775.789999999994</v>
      </c>
      <c r="E161" s="3"/>
      <c r="F161" s="7">
        <f t="shared" si="28"/>
        <v>2.7841554110561991E-2</v>
      </c>
      <c r="G161" s="3"/>
      <c r="H161" s="8">
        <v>74518.17</v>
      </c>
      <c r="I161" s="3"/>
      <c r="J161" s="7">
        <f t="shared" si="29"/>
        <v>0.13644759484425628</v>
      </c>
      <c r="K161" s="3"/>
      <c r="L161" s="8">
        <f t="shared" si="30"/>
        <v>257.61999999999534</v>
      </c>
      <c r="M161" s="3"/>
      <c r="N161" s="7">
        <f t="shared" si="31"/>
        <v>3.457143405427097E-3</v>
      </c>
      <c r="O161" s="12"/>
      <c r="P161" s="8">
        <v>600043.77</v>
      </c>
      <c r="Q161" s="3"/>
      <c r="R161" s="7">
        <f t="shared" si="32"/>
        <v>3.8350067838206756E-2</v>
      </c>
      <c r="S161" s="3"/>
      <c r="T161" s="8">
        <v>600975.82999999996</v>
      </c>
      <c r="U161" s="3"/>
      <c r="V161" s="7">
        <f t="shared" si="33"/>
        <v>8.4036273645467105E-2</v>
      </c>
      <c r="W161" s="3"/>
      <c r="X161" s="8">
        <f t="shared" si="34"/>
        <v>-932.05999999993946</v>
      </c>
      <c r="Y161" s="3"/>
      <c r="Z161" s="7">
        <f t="shared" si="35"/>
        <v>-1.5509109576003074E-3</v>
      </c>
    </row>
    <row r="162" spans="1:26" s="69" customFormat="1" ht="15" hidden="1" customHeight="1" outlineLevel="2" x14ac:dyDescent="0.3">
      <c r="A162" s="26"/>
      <c r="B162" s="12" t="str">
        <f>CONCATENATE("          ","6114"," - ","STATE UNEMPLOYMENT INSURANCE")</f>
        <v xml:space="preserve">          6114 - STATE UNEMPLOYMENT INSURANCE</v>
      </c>
      <c r="C162" s="12"/>
      <c r="D162" s="8">
        <v>1484.75</v>
      </c>
      <c r="E162" s="3"/>
      <c r="F162" s="7">
        <f t="shared" si="28"/>
        <v>5.5282261097685387E-4</v>
      </c>
      <c r="G162" s="3"/>
      <c r="H162" s="8">
        <v>739.84</v>
      </c>
      <c r="I162" s="3"/>
      <c r="J162" s="7">
        <f t="shared" si="29"/>
        <v>1.3546949498300157E-3</v>
      </c>
      <c r="K162" s="3"/>
      <c r="L162" s="8">
        <f t="shared" si="30"/>
        <v>744.91</v>
      </c>
      <c r="M162" s="3"/>
      <c r="N162" s="7">
        <f t="shared" si="31"/>
        <v>1.0068528330449826</v>
      </c>
      <c r="O162" s="12"/>
      <c r="P162" s="8">
        <v>9853.14</v>
      </c>
      <c r="Q162" s="3"/>
      <c r="R162" s="7">
        <f t="shared" si="32"/>
        <v>6.2973503986108955E-4</v>
      </c>
      <c r="S162" s="3"/>
      <c r="T162" s="8">
        <v>6806.59</v>
      </c>
      <c r="U162" s="3"/>
      <c r="V162" s="7">
        <f t="shared" si="33"/>
        <v>9.5178613062109341E-4</v>
      </c>
      <c r="W162" s="3"/>
      <c r="X162" s="8">
        <f t="shared" si="34"/>
        <v>3046.5499999999993</v>
      </c>
      <c r="Y162" s="3"/>
      <c r="Z162" s="7">
        <f t="shared" si="35"/>
        <v>0.44758829311005938</v>
      </c>
    </row>
    <row r="163" spans="1:26" s="69" customFormat="1" ht="15" hidden="1" customHeight="1" outlineLevel="2" x14ac:dyDescent="0.3">
      <c r="A163" s="26"/>
      <c r="B163" s="12" t="str">
        <f>CONCATENATE("          ","6115"," - ","P.E.R.S.")</f>
        <v xml:space="preserve">          6115 - P.E.R.S.</v>
      </c>
      <c r="C163" s="12"/>
      <c r="D163" s="8">
        <v>15295.91</v>
      </c>
      <c r="E163" s="3"/>
      <c r="F163" s="7">
        <f t="shared" si="28"/>
        <v>5.6951843094574638E-3</v>
      </c>
      <c r="G163" s="3"/>
      <c r="H163" s="8">
        <v>13405.85</v>
      </c>
      <c r="I163" s="3"/>
      <c r="J163" s="7">
        <f t="shared" si="29"/>
        <v>2.454697947283023E-2</v>
      </c>
      <c r="K163" s="3"/>
      <c r="L163" s="8">
        <f t="shared" si="30"/>
        <v>1890.0599999999995</v>
      </c>
      <c r="M163" s="3"/>
      <c r="N163" s="7">
        <f t="shared" si="31"/>
        <v>0.14098770312960382</v>
      </c>
      <c r="O163" s="12"/>
      <c r="P163" s="8">
        <v>123152.25</v>
      </c>
      <c r="Q163" s="3"/>
      <c r="R163" s="7">
        <f t="shared" si="32"/>
        <v>7.8709210528555233E-3</v>
      </c>
      <c r="S163" s="3"/>
      <c r="T163" s="8">
        <v>128827.09</v>
      </c>
      <c r="U163" s="3"/>
      <c r="V163" s="7">
        <f t="shared" si="33"/>
        <v>1.8014282850924671E-2</v>
      </c>
      <c r="W163" s="3"/>
      <c r="X163" s="8">
        <f t="shared" si="34"/>
        <v>-5674.8399999999965</v>
      </c>
      <c r="Y163" s="3"/>
      <c r="Z163" s="7">
        <f t="shared" si="35"/>
        <v>-4.4050051895140975E-2</v>
      </c>
    </row>
    <row r="164" spans="1:26" s="69" customFormat="1" ht="15" hidden="1" customHeight="1" outlineLevel="2" x14ac:dyDescent="0.3">
      <c r="A164" s="26"/>
      <c r="B164" s="12" t="str">
        <f>CONCATENATE("          ","6116"," - ","EDUCATIONAL BENEFITS")</f>
        <v xml:space="preserve">          6116 - EDUCATIONAL BENEFITS</v>
      </c>
      <c r="C164" s="12"/>
      <c r="D164" s="8"/>
      <c r="E164" s="3"/>
      <c r="F164" s="7">
        <f t="shared" si="28"/>
        <v>0</v>
      </c>
      <c r="G164" s="3"/>
      <c r="H164" s="8"/>
      <c r="I164" s="3"/>
      <c r="J164" s="7">
        <f t="shared" si="29"/>
        <v>0</v>
      </c>
      <c r="K164" s="3"/>
      <c r="L164" s="8">
        <f t="shared" si="30"/>
        <v>0</v>
      </c>
      <c r="M164" s="3"/>
      <c r="N164" s="7">
        <f t="shared" si="31"/>
        <v>0</v>
      </c>
      <c r="O164" s="12"/>
      <c r="P164" s="8"/>
      <c r="Q164" s="3"/>
      <c r="R164" s="7">
        <f t="shared" si="32"/>
        <v>0</v>
      </c>
      <c r="S164" s="3"/>
      <c r="T164" s="8">
        <v>0</v>
      </c>
      <c r="U164" s="3"/>
      <c r="V164" s="7">
        <f t="shared" si="33"/>
        <v>0</v>
      </c>
      <c r="W164" s="3"/>
      <c r="X164" s="8">
        <f t="shared" si="34"/>
        <v>0</v>
      </c>
      <c r="Y164" s="3"/>
      <c r="Z164" s="7">
        <f t="shared" si="35"/>
        <v>0</v>
      </c>
    </row>
    <row r="165" spans="1:26" s="69" customFormat="1" ht="15" hidden="1" customHeight="1" outlineLevel="2" x14ac:dyDescent="0.3">
      <c r="A165" s="26"/>
      <c r="B165" s="12" t="str">
        <f>CONCATENATE("          ","6117"," - ","RETIREMENT STAFF HOURLY")</f>
        <v xml:space="preserve">          6117 - RETIREMENT STAFF HOURLY</v>
      </c>
      <c r="C165" s="12"/>
      <c r="D165" s="8">
        <v>2942.39</v>
      </c>
      <c r="E165" s="3"/>
      <c r="F165" s="7">
        <f t="shared" si="28"/>
        <v>1.0955512526096549E-3</v>
      </c>
      <c r="G165" s="3"/>
      <c r="H165" s="8">
        <v>2202.4699999999998</v>
      </c>
      <c r="I165" s="3"/>
      <c r="J165" s="7">
        <f t="shared" si="29"/>
        <v>4.0328651953829399E-3</v>
      </c>
      <c r="K165" s="3"/>
      <c r="L165" s="8">
        <f t="shared" si="30"/>
        <v>739.92000000000007</v>
      </c>
      <c r="M165" s="3"/>
      <c r="N165" s="7">
        <f t="shared" si="31"/>
        <v>0.33595009239626428</v>
      </c>
      <c r="O165" s="12"/>
      <c r="P165" s="8">
        <v>19780.330000000002</v>
      </c>
      <c r="Q165" s="3"/>
      <c r="R165" s="7">
        <f t="shared" si="32"/>
        <v>1.2642027720113089E-3</v>
      </c>
      <c r="S165" s="3"/>
      <c r="T165" s="8">
        <v>16807.72</v>
      </c>
      <c r="U165" s="3"/>
      <c r="V165" s="7">
        <f t="shared" si="33"/>
        <v>2.3502744815484355E-3</v>
      </c>
      <c r="W165" s="3"/>
      <c r="X165" s="8">
        <f t="shared" si="34"/>
        <v>2972.6100000000006</v>
      </c>
      <c r="Y165" s="3"/>
      <c r="Z165" s="7">
        <f t="shared" si="35"/>
        <v>0.17685980013945973</v>
      </c>
    </row>
    <row r="166" spans="1:26" s="69" customFormat="1" ht="15" hidden="1" customHeight="1" outlineLevel="2" x14ac:dyDescent="0.3">
      <c r="A166" s="26"/>
      <c r="B166" s="12" t="str">
        <f>CONCATENATE("          ","6118"," - ","VACATION")</f>
        <v xml:space="preserve">          6118 - VACATION</v>
      </c>
      <c r="C166" s="12"/>
      <c r="D166" s="8">
        <v>20234.740000000002</v>
      </c>
      <c r="E166" s="3"/>
      <c r="F166" s="7">
        <f t="shared" si="28"/>
        <v>7.5340776556577106E-3</v>
      </c>
      <c r="G166" s="3"/>
      <c r="H166" s="8">
        <v>14515.96</v>
      </c>
      <c r="I166" s="3"/>
      <c r="J166" s="7">
        <f t="shared" si="29"/>
        <v>2.6579662770240205E-2</v>
      </c>
      <c r="K166" s="3"/>
      <c r="L166" s="8">
        <f t="shared" si="30"/>
        <v>5718.7800000000025</v>
      </c>
      <c r="M166" s="3"/>
      <c r="N166" s="7">
        <f t="shared" si="31"/>
        <v>0.39396498750341025</v>
      </c>
      <c r="O166" s="12"/>
      <c r="P166" s="8">
        <v>153117.25</v>
      </c>
      <c r="Q166" s="3"/>
      <c r="R166" s="7">
        <f t="shared" si="32"/>
        <v>9.7860476489901108E-3</v>
      </c>
      <c r="S166" s="3"/>
      <c r="T166" s="8">
        <v>126946.87</v>
      </c>
      <c r="U166" s="3"/>
      <c r="V166" s="7">
        <f t="shared" si="33"/>
        <v>1.7751365983812592E-2</v>
      </c>
      <c r="W166" s="3"/>
      <c r="X166" s="8">
        <f t="shared" si="34"/>
        <v>26170.380000000005</v>
      </c>
      <c r="Y166" s="3"/>
      <c r="Z166" s="7">
        <f t="shared" si="35"/>
        <v>0.20615222730580129</v>
      </c>
    </row>
    <row r="167" spans="1:26" s="69" customFormat="1" ht="15" hidden="1" customHeight="1" outlineLevel="2" x14ac:dyDescent="0.3">
      <c r="A167" s="26"/>
      <c r="B167" s="12" t="str">
        <f>CONCATENATE("          ","6119"," - ","SICK LEAVE")</f>
        <v xml:space="preserve">          6119 - SICK LEAVE</v>
      </c>
      <c r="C167" s="12"/>
      <c r="D167" s="8">
        <v>-12917.88</v>
      </c>
      <c r="E167" s="3"/>
      <c r="F167" s="7">
        <f t="shared" si="28"/>
        <v>-4.8097633607581619E-3</v>
      </c>
      <c r="G167" s="3"/>
      <c r="H167" s="8">
        <v>9922.65</v>
      </c>
      <c r="I167" s="3"/>
      <c r="J167" s="7">
        <f t="shared" si="29"/>
        <v>1.8169014711195398E-2</v>
      </c>
      <c r="K167" s="3"/>
      <c r="L167" s="8">
        <f t="shared" si="30"/>
        <v>-22840.53</v>
      </c>
      <c r="M167" s="3"/>
      <c r="N167" s="7">
        <f t="shared" si="31"/>
        <v>-2.3018578706293176</v>
      </c>
      <c r="O167" s="12"/>
      <c r="P167" s="8">
        <v>98408.71</v>
      </c>
      <c r="Q167" s="3"/>
      <c r="R167" s="7">
        <f t="shared" si="32"/>
        <v>6.2895090209342816E-3</v>
      </c>
      <c r="S167" s="3"/>
      <c r="T167" s="8">
        <v>85504.91</v>
      </c>
      <c r="U167" s="3"/>
      <c r="V167" s="7">
        <f t="shared" si="33"/>
        <v>1.1956410983767913E-2</v>
      </c>
      <c r="W167" s="3"/>
      <c r="X167" s="8">
        <f t="shared" si="34"/>
        <v>12903.800000000003</v>
      </c>
      <c r="Y167" s="3"/>
      <c r="Z167" s="7">
        <f t="shared" si="35"/>
        <v>0.15091297096272019</v>
      </c>
    </row>
    <row r="168" spans="1:26" s="69" customFormat="1" ht="15" hidden="1" customHeight="1" outlineLevel="2" x14ac:dyDescent="0.3">
      <c r="A168" s="26"/>
      <c r="B168" s="12" t="str">
        <f>CONCATENATE("          ","6156"," - ","EMPLOYEE MEALS")</f>
        <v xml:space="preserve">          6156 - EMPLOYEE MEALS</v>
      </c>
      <c r="C168" s="12"/>
      <c r="D168" s="8">
        <v>9409.7099999999991</v>
      </c>
      <c r="E168" s="3"/>
      <c r="F168" s="7">
        <f t="shared" si="28"/>
        <v>3.5035530902407888E-3</v>
      </c>
      <c r="G168" s="3"/>
      <c r="H168" s="8">
        <v>4325.96</v>
      </c>
      <c r="I168" s="3"/>
      <c r="J168" s="7">
        <f t="shared" si="29"/>
        <v>7.9211128962568319E-3</v>
      </c>
      <c r="K168" s="3"/>
      <c r="L168" s="8">
        <f t="shared" si="30"/>
        <v>5083.7499999999991</v>
      </c>
      <c r="M168" s="3"/>
      <c r="N168" s="7">
        <f t="shared" si="31"/>
        <v>1.1751726784343819</v>
      </c>
      <c r="O168" s="12"/>
      <c r="P168" s="8">
        <v>63181.11</v>
      </c>
      <c r="Q168" s="3"/>
      <c r="R168" s="7">
        <f t="shared" si="32"/>
        <v>4.0380385160789234E-3</v>
      </c>
      <c r="S168" s="3"/>
      <c r="T168" s="8">
        <v>36937.54</v>
      </c>
      <c r="U168" s="3"/>
      <c r="V168" s="7">
        <f t="shared" si="33"/>
        <v>5.1650882852150434E-3</v>
      </c>
      <c r="W168" s="3"/>
      <c r="X168" s="8">
        <f t="shared" si="34"/>
        <v>26243.57</v>
      </c>
      <c r="Y168" s="3"/>
      <c r="Z168" s="7">
        <f t="shared" si="35"/>
        <v>0.71048505125138273</v>
      </c>
    </row>
    <row r="169" spans="1:26" s="68" customFormat="1" ht="15" customHeight="1" outlineLevel="1" collapsed="1" x14ac:dyDescent="0.3">
      <c r="A169" s="25"/>
      <c r="B169" s="14" t="str">
        <f>CONCATENATE("     ","*Payroll                                          ")</f>
        <v xml:space="preserve">     *Payroll                                          </v>
      </c>
      <c r="C169" s="14"/>
      <c r="D169" s="2">
        <f>SUM(OSRRefD22_1x_0)</f>
        <v>588830.5</v>
      </c>
      <c r="E169" s="2"/>
      <c r="F169" s="6">
        <f t="shared" si="28"/>
        <v>0.21924149818676975</v>
      </c>
      <c r="G169" s="2"/>
      <c r="H169" s="2">
        <f>SUM(OSRRefH22_1x_0)</f>
        <v>255263.19999999998</v>
      </c>
      <c r="I169" s="2"/>
      <c r="J169" s="6">
        <f t="shared" si="29"/>
        <v>0.46740344928288446</v>
      </c>
      <c r="K169" s="2"/>
      <c r="L169" s="2">
        <f t="shared" si="30"/>
        <v>333567.30000000005</v>
      </c>
      <c r="M169" s="2"/>
      <c r="N169" s="6">
        <f t="shared" si="31"/>
        <v>1.3067582792976038</v>
      </c>
      <c r="O169" s="14"/>
      <c r="P169" s="2">
        <f>SUM(OSRRefP22_1x_0)</f>
        <v>3911771.2300000004</v>
      </c>
      <c r="Q169" s="2"/>
      <c r="R169" s="6">
        <f t="shared" si="32"/>
        <v>0.25000958186441213</v>
      </c>
      <c r="S169" s="2"/>
      <c r="T169" s="2">
        <f>SUM(OSRRefT22_1x_0)</f>
        <v>2308023.3099999996</v>
      </c>
      <c r="U169" s="2"/>
      <c r="V169" s="6">
        <f t="shared" si="33"/>
        <v>0.32273790188746315</v>
      </c>
      <c r="W169" s="2"/>
      <c r="X169" s="2">
        <f t="shared" si="34"/>
        <v>1603747.9200000009</v>
      </c>
      <c r="Y169" s="2"/>
      <c r="Z169" s="6">
        <f t="shared" si="35"/>
        <v>0.69485776553963885</v>
      </c>
    </row>
    <row r="170" spans="1:26" s="69" customFormat="1" ht="15" hidden="1" customHeight="1" outlineLevel="2" x14ac:dyDescent="0.3">
      <c r="A170" s="26"/>
      <c r="B170" s="12" t="str">
        <f>CONCATENATE("          ","6001"," - ","ADMINISTRATIVE SALARIES")</f>
        <v xml:space="preserve">          6001 - ADMINISTRATIVE SALARIES</v>
      </c>
      <c r="C170" s="12"/>
      <c r="D170" s="8">
        <v>31946.07</v>
      </c>
      <c r="E170" s="3"/>
      <c r="F170" s="7">
        <f t="shared" si="28"/>
        <v>1.189460166886637E-2</v>
      </c>
      <c r="G170" s="3"/>
      <c r="H170" s="8">
        <v>28111.82</v>
      </c>
      <c r="I170" s="3"/>
      <c r="J170" s="7">
        <f t="shared" si="29"/>
        <v>5.1474562857550865E-2</v>
      </c>
      <c r="K170" s="3"/>
      <c r="L170" s="8">
        <f t="shared" si="30"/>
        <v>3834.25</v>
      </c>
      <c r="M170" s="3"/>
      <c r="N170" s="7">
        <f t="shared" si="31"/>
        <v>0.13639280558853892</v>
      </c>
      <c r="O170" s="12"/>
      <c r="P170" s="8">
        <v>243118.86</v>
      </c>
      <c r="Q170" s="3"/>
      <c r="R170" s="7">
        <f t="shared" si="32"/>
        <v>1.5538241108223638E-2</v>
      </c>
      <c r="S170" s="3"/>
      <c r="T170" s="8">
        <v>229967.18</v>
      </c>
      <c r="U170" s="3"/>
      <c r="V170" s="7">
        <f t="shared" si="33"/>
        <v>3.2157008490601678E-2</v>
      </c>
      <c r="W170" s="3"/>
      <c r="X170" s="8">
        <f t="shared" si="34"/>
        <v>13151.679999999993</v>
      </c>
      <c r="Y170" s="3"/>
      <c r="Z170" s="7">
        <f t="shared" si="35"/>
        <v>5.7189378066904994E-2</v>
      </c>
    </row>
    <row r="171" spans="1:26" s="69" customFormat="1" ht="15" hidden="1" customHeight="1" outlineLevel="2" x14ac:dyDescent="0.3">
      <c r="A171" s="26"/>
      <c r="B171" s="12" t="str">
        <f>CONCATENATE("          ","6002"," - ","STAFF SALARIES")</f>
        <v xml:space="preserve">          6002 - STAFF SALARIES</v>
      </c>
      <c r="C171" s="12"/>
      <c r="D171" s="8">
        <v>126127.47</v>
      </c>
      <c r="E171" s="3"/>
      <c r="F171" s="7">
        <f t="shared" si="28"/>
        <v>4.6961520310695275E-2</v>
      </c>
      <c r="G171" s="3"/>
      <c r="H171" s="8">
        <v>107681.93</v>
      </c>
      <c r="I171" s="3"/>
      <c r="J171" s="7">
        <f t="shared" si="29"/>
        <v>0.19717258699036178</v>
      </c>
      <c r="K171" s="3"/>
      <c r="L171" s="8">
        <f t="shared" si="30"/>
        <v>18445.540000000008</v>
      </c>
      <c r="M171" s="3"/>
      <c r="N171" s="7">
        <f t="shared" si="31"/>
        <v>0.17129652115262059</v>
      </c>
      <c r="O171" s="12"/>
      <c r="P171" s="8">
        <v>987046.23</v>
      </c>
      <c r="Q171" s="3"/>
      <c r="R171" s="7">
        <f t="shared" si="32"/>
        <v>6.3084214473131228E-2</v>
      </c>
      <c r="S171" s="3"/>
      <c r="T171" s="8">
        <v>904483.07</v>
      </c>
      <c r="U171" s="3"/>
      <c r="V171" s="7">
        <f t="shared" si="33"/>
        <v>0.12647661184346162</v>
      </c>
      <c r="W171" s="3"/>
      <c r="X171" s="8">
        <f t="shared" si="34"/>
        <v>82563.160000000033</v>
      </c>
      <c r="Y171" s="3"/>
      <c r="Z171" s="7">
        <f t="shared" si="35"/>
        <v>9.128215080908042E-2</v>
      </c>
    </row>
    <row r="172" spans="1:26" s="69" customFormat="1" ht="15" hidden="1" customHeight="1" outlineLevel="2" x14ac:dyDescent="0.3">
      <c r="A172" s="26"/>
      <c r="B172" s="12" t="str">
        <f>CONCATENATE("          ","6004"," - ","STAFF HOURLY")</f>
        <v xml:space="preserve">          6004 - STAFF HOURLY</v>
      </c>
      <c r="C172" s="12"/>
      <c r="D172" s="8">
        <v>158052.13</v>
      </c>
      <c r="E172" s="3"/>
      <c r="F172" s="7">
        <f t="shared" si="28"/>
        <v>5.8848150312883075E-2</v>
      </c>
      <c r="G172" s="3"/>
      <c r="H172" s="8">
        <v>58536.49</v>
      </c>
      <c r="I172" s="3"/>
      <c r="J172" s="7">
        <f t="shared" si="29"/>
        <v>0.10718410383836399</v>
      </c>
      <c r="K172" s="3"/>
      <c r="L172" s="8">
        <f t="shared" si="30"/>
        <v>99515.640000000014</v>
      </c>
      <c r="M172" s="3"/>
      <c r="N172" s="7">
        <f t="shared" si="31"/>
        <v>1.7000616196837224</v>
      </c>
      <c r="O172" s="12"/>
      <c r="P172" s="8">
        <v>927696.32</v>
      </c>
      <c r="Q172" s="3"/>
      <c r="R172" s="7">
        <f t="shared" si="32"/>
        <v>5.9291036061010612E-2</v>
      </c>
      <c r="S172" s="3"/>
      <c r="T172" s="8">
        <v>527621.06000000006</v>
      </c>
      <c r="U172" s="3"/>
      <c r="V172" s="7">
        <f t="shared" si="33"/>
        <v>7.3778853600936709E-2</v>
      </c>
      <c r="W172" s="3"/>
      <c r="X172" s="8">
        <f t="shared" si="34"/>
        <v>400075.25999999989</v>
      </c>
      <c r="Y172" s="3"/>
      <c r="Z172" s="7">
        <f t="shared" si="35"/>
        <v>0.75826249240316501</v>
      </c>
    </row>
    <row r="173" spans="1:26" s="69" customFormat="1" ht="15" hidden="1" customHeight="1" outlineLevel="2" x14ac:dyDescent="0.3">
      <c r="A173" s="26"/>
      <c r="B173" s="12" t="str">
        <f>CONCATENATE("          ","6005"," - ","TEMPORARY WAGES-HOURLY")</f>
        <v xml:space="preserve">          6005 - TEMPORARY WAGES-HOURLY</v>
      </c>
      <c r="C173" s="12"/>
      <c r="D173" s="8">
        <v>73286.87</v>
      </c>
      <c r="E173" s="3"/>
      <c r="F173" s="7">
        <f t="shared" si="28"/>
        <v>2.7287178867635133E-2</v>
      </c>
      <c r="G173" s="3"/>
      <c r="H173" s="8">
        <v>28487.8</v>
      </c>
      <c r="I173" s="3"/>
      <c r="J173" s="7">
        <f t="shared" si="29"/>
        <v>5.2163006584893382E-2</v>
      </c>
      <c r="K173" s="3"/>
      <c r="L173" s="8">
        <f t="shared" si="30"/>
        <v>44799.069999999992</v>
      </c>
      <c r="M173" s="3"/>
      <c r="N173" s="7">
        <f t="shared" si="31"/>
        <v>1.5725703634538291</v>
      </c>
      <c r="O173" s="12"/>
      <c r="P173" s="8">
        <v>528241.12</v>
      </c>
      <c r="Q173" s="3"/>
      <c r="R173" s="7">
        <f t="shared" si="32"/>
        <v>3.376100844598439E-2</v>
      </c>
      <c r="S173" s="3"/>
      <c r="T173" s="8">
        <v>259456.95</v>
      </c>
      <c r="U173" s="3"/>
      <c r="V173" s="7">
        <f t="shared" si="33"/>
        <v>3.6280652500481222E-2</v>
      </c>
      <c r="W173" s="3"/>
      <c r="X173" s="8">
        <f t="shared" si="34"/>
        <v>268784.17</v>
      </c>
      <c r="Y173" s="3"/>
      <c r="Z173" s="7">
        <f t="shared" si="35"/>
        <v>1.0359490081109795</v>
      </c>
    </row>
    <row r="174" spans="1:26" s="69" customFormat="1" ht="15" hidden="1" customHeight="1" outlineLevel="2" x14ac:dyDescent="0.3">
      <c r="A174" s="26"/>
      <c r="B174" s="12" t="str">
        <f>CONCATENATE("          ","6006"," - ","TEMPORARY PART TIME")</f>
        <v xml:space="preserve">          6006 - TEMPORARY PART TIME</v>
      </c>
      <c r="C174" s="12"/>
      <c r="D174" s="8">
        <v>3596</v>
      </c>
      <c r="E174" s="3"/>
      <c r="F174" s="7">
        <f t="shared" si="28"/>
        <v>1.3389123482557782E-3</v>
      </c>
      <c r="G174" s="3"/>
      <c r="H174" s="8">
        <v>2651.44</v>
      </c>
      <c r="I174" s="3"/>
      <c r="J174" s="7">
        <f t="shared" si="29"/>
        <v>4.8549583393399879E-3</v>
      </c>
      <c r="K174" s="3"/>
      <c r="L174" s="8">
        <f t="shared" si="30"/>
        <v>944.56</v>
      </c>
      <c r="M174" s="3"/>
      <c r="N174" s="7">
        <f t="shared" si="31"/>
        <v>0.3562441541200253</v>
      </c>
      <c r="O174" s="12"/>
      <c r="P174" s="8">
        <v>15565.97</v>
      </c>
      <c r="Q174" s="3"/>
      <c r="R174" s="7">
        <f t="shared" si="32"/>
        <v>9.9485410117247132E-4</v>
      </c>
      <c r="S174" s="3"/>
      <c r="T174" s="8">
        <v>12639.4</v>
      </c>
      <c r="U174" s="3"/>
      <c r="V174" s="7">
        <f t="shared" si="33"/>
        <v>1.7674056494327184E-3</v>
      </c>
      <c r="W174" s="3"/>
      <c r="X174" s="8">
        <f t="shared" si="34"/>
        <v>2926.5699999999997</v>
      </c>
      <c r="Y174" s="3"/>
      <c r="Z174" s="7">
        <f t="shared" si="35"/>
        <v>0.23154342769435257</v>
      </c>
    </row>
    <row r="175" spans="1:26" s="69" customFormat="1" ht="15" hidden="1" customHeight="1" outlineLevel="2" x14ac:dyDescent="0.3">
      <c r="A175" s="26"/>
      <c r="B175" s="12" t="str">
        <f>CONCATENATE("          ","6007"," - ","STUDENT HOURLY")</f>
        <v xml:space="preserve">          6007 - STUDENT HOURLY</v>
      </c>
      <c r="C175" s="12"/>
      <c r="D175" s="8">
        <v>128729.48</v>
      </c>
      <c r="E175" s="3"/>
      <c r="F175" s="7">
        <f t="shared" si="28"/>
        <v>4.7930336584133822E-2</v>
      </c>
      <c r="G175" s="3"/>
      <c r="H175" s="8">
        <v>28121.279999999999</v>
      </c>
      <c r="I175" s="3"/>
      <c r="J175" s="7">
        <f t="shared" si="29"/>
        <v>5.1491884730152225E-2</v>
      </c>
      <c r="K175" s="3"/>
      <c r="L175" s="8">
        <f t="shared" si="30"/>
        <v>100608.2</v>
      </c>
      <c r="M175" s="3"/>
      <c r="N175" s="7">
        <f t="shared" si="31"/>
        <v>3.5776536487670549</v>
      </c>
      <c r="O175" s="12"/>
      <c r="P175" s="8">
        <v>989607.78</v>
      </c>
      <c r="Q175" s="3"/>
      <c r="R175" s="7">
        <f t="shared" si="32"/>
        <v>6.3247928557307057E-2</v>
      </c>
      <c r="S175" s="3"/>
      <c r="T175" s="8">
        <v>352013.64</v>
      </c>
      <c r="U175" s="3"/>
      <c r="V175" s="7">
        <f t="shared" si="33"/>
        <v>4.9223135276466858E-2</v>
      </c>
      <c r="W175" s="3"/>
      <c r="X175" s="8">
        <f t="shared" si="34"/>
        <v>637594.14</v>
      </c>
      <c r="Y175" s="3"/>
      <c r="Z175" s="7">
        <f t="shared" si="35"/>
        <v>1.8112768016602994</v>
      </c>
    </row>
    <row r="176" spans="1:26" s="69" customFormat="1" ht="15" hidden="1" customHeight="1" outlineLevel="2" x14ac:dyDescent="0.3">
      <c r="A176" s="26"/>
      <c r="B176" s="12" t="str">
        <f>CONCATENATE("          ","6008"," - ","STUDENT HOURLY-FICA EXEMPT")</f>
        <v xml:space="preserve">          6008 - STUDENT HOURLY-FICA EXEMPT</v>
      </c>
      <c r="C176" s="12"/>
      <c r="D176" s="8">
        <v>67092.479999999996</v>
      </c>
      <c r="E176" s="3"/>
      <c r="F176" s="7">
        <f t="shared" si="28"/>
        <v>2.4980798094300285E-2</v>
      </c>
      <c r="G176" s="3"/>
      <c r="H176" s="8">
        <v>1672.44</v>
      </c>
      <c r="I176" s="3"/>
      <c r="J176" s="7">
        <f t="shared" si="29"/>
        <v>3.0623459422222526E-3</v>
      </c>
      <c r="K176" s="3"/>
      <c r="L176" s="8">
        <f t="shared" si="30"/>
        <v>65420.039999999994</v>
      </c>
      <c r="M176" s="3"/>
      <c r="N176" s="7">
        <f t="shared" si="31"/>
        <v>39.116524359618275</v>
      </c>
      <c r="O176" s="12"/>
      <c r="P176" s="8">
        <v>220494.95</v>
      </c>
      <c r="Q176" s="3"/>
      <c r="R176" s="7">
        <f t="shared" si="32"/>
        <v>1.4092299117582717E-2</v>
      </c>
      <c r="S176" s="3"/>
      <c r="T176" s="8">
        <v>21842.01</v>
      </c>
      <c r="U176" s="3"/>
      <c r="V176" s="7">
        <f t="shared" si="33"/>
        <v>3.0542345260824032E-3</v>
      </c>
      <c r="W176" s="3"/>
      <c r="X176" s="8">
        <f t="shared" si="34"/>
        <v>198652.94</v>
      </c>
      <c r="Y176" s="3"/>
      <c r="Z176" s="7">
        <f t="shared" si="35"/>
        <v>9.0949935468393264</v>
      </c>
    </row>
    <row r="177" spans="1:26" s="68" customFormat="1" ht="15" customHeight="1" outlineLevel="1" collapsed="1" x14ac:dyDescent="0.3">
      <c r="A177" s="25"/>
      <c r="B177" s="14" t="str">
        <f>CONCATENATE("     ","Advertising/Promo                                 ")</f>
        <v xml:space="preserve">     Advertising/Promo                                 </v>
      </c>
      <c r="C177" s="14"/>
      <c r="D177" s="2">
        <f>SUM(OSRRefD22_2x_0)</f>
        <v>1075.52</v>
      </c>
      <c r="E177" s="2"/>
      <c r="F177" s="6">
        <f t="shared" si="28"/>
        <v>4.0045244960958132E-4</v>
      </c>
      <c r="G177" s="2"/>
      <c r="H177" s="2">
        <f>SUM(OSRRefH22_2x_0)</f>
        <v>193.13</v>
      </c>
      <c r="I177" s="2"/>
      <c r="J177" s="6">
        <f t="shared" si="29"/>
        <v>3.5363353652231687E-4</v>
      </c>
      <c r="K177" s="2"/>
      <c r="L177" s="2">
        <f t="shared" si="30"/>
        <v>882.39</v>
      </c>
      <c r="M177" s="2"/>
      <c r="N177" s="6">
        <f t="shared" si="31"/>
        <v>4.5688914202868531</v>
      </c>
      <c r="O177" s="14"/>
      <c r="P177" s="2">
        <f>SUM(OSRRefP22_2x_0)</f>
        <v>12299.59</v>
      </c>
      <c r="Q177" s="2"/>
      <c r="R177" s="6">
        <f t="shared" si="32"/>
        <v>7.8609283933091982E-4</v>
      </c>
      <c r="S177" s="2"/>
      <c r="T177" s="2">
        <f>SUM(OSRRefT22_2x_0)</f>
        <v>18410.72</v>
      </c>
      <c r="U177" s="2"/>
      <c r="V177" s="6">
        <f t="shared" si="33"/>
        <v>2.57442683498615E-3</v>
      </c>
      <c r="W177" s="2"/>
      <c r="X177" s="2">
        <f t="shared" si="34"/>
        <v>-6111.130000000001</v>
      </c>
      <c r="Y177" s="2"/>
      <c r="Z177" s="6">
        <f t="shared" si="35"/>
        <v>-0.33193324324089446</v>
      </c>
    </row>
    <row r="178" spans="1:26" s="69" customFormat="1" ht="15" hidden="1" customHeight="1" outlineLevel="2" x14ac:dyDescent="0.3">
      <c r="A178" s="26"/>
      <c r="B178" s="12" t="str">
        <f>CONCATENATE("          ","6362"," - ","ADVERTISING EXPENSE")</f>
        <v xml:space="preserve">          6362 - ADVERTISING EXPENSE</v>
      </c>
      <c r="C178" s="12"/>
      <c r="D178" s="8">
        <v>1075.52</v>
      </c>
      <c r="E178" s="3"/>
      <c r="F178" s="7">
        <f t="shared" si="28"/>
        <v>4.0045244960958132E-4</v>
      </c>
      <c r="G178" s="3"/>
      <c r="H178" s="8">
        <v>193.13</v>
      </c>
      <c r="I178" s="3"/>
      <c r="J178" s="7">
        <f t="shared" si="29"/>
        <v>3.5363353652231687E-4</v>
      </c>
      <c r="K178" s="3"/>
      <c r="L178" s="8">
        <f t="shared" si="30"/>
        <v>882.39</v>
      </c>
      <c r="M178" s="3"/>
      <c r="N178" s="7">
        <f t="shared" si="31"/>
        <v>4.5688914202868531</v>
      </c>
      <c r="O178" s="12"/>
      <c r="P178" s="8">
        <v>12299.59</v>
      </c>
      <c r="Q178" s="3"/>
      <c r="R178" s="7">
        <f t="shared" si="32"/>
        <v>7.8609283933091982E-4</v>
      </c>
      <c r="S178" s="3"/>
      <c r="T178" s="8">
        <v>18410.72</v>
      </c>
      <c r="U178" s="3"/>
      <c r="V178" s="7">
        <f t="shared" si="33"/>
        <v>2.57442683498615E-3</v>
      </c>
      <c r="W178" s="3"/>
      <c r="X178" s="8">
        <f t="shared" si="34"/>
        <v>-6111.130000000001</v>
      </c>
      <c r="Y178" s="3"/>
      <c r="Z178" s="7">
        <f t="shared" si="35"/>
        <v>-0.33193324324089446</v>
      </c>
    </row>
    <row r="179" spans="1:26" s="68" customFormat="1" ht="15" customHeight="1" outlineLevel="1" collapsed="1" x14ac:dyDescent="0.3">
      <c r="A179" s="25"/>
      <c r="B179" s="14" t="str">
        <f>CONCATENATE("     ","Bad Debts/Over/Short                              ")</f>
        <v xml:space="preserve">     Bad Debts/Over/Short                              </v>
      </c>
      <c r="C179" s="14"/>
      <c r="D179" s="2">
        <f>SUM(OSRRefD22_3x_0)</f>
        <v>-59.85</v>
      </c>
      <c r="E179" s="2"/>
      <c r="F179" s="6">
        <f t="shared" si="28"/>
        <v>-2.2284177987516221E-5</v>
      </c>
      <c r="G179" s="2"/>
      <c r="H179" s="2">
        <f>SUM(OSRRefH22_3x_0)</f>
        <v>3266.2</v>
      </c>
      <c r="I179" s="2"/>
      <c r="J179" s="6">
        <f t="shared" si="29"/>
        <v>5.9806237093625609E-3</v>
      </c>
      <c r="K179" s="2"/>
      <c r="L179" s="2">
        <f t="shared" si="30"/>
        <v>-3326.0499999999997</v>
      </c>
      <c r="M179" s="2"/>
      <c r="N179" s="6">
        <f t="shared" si="31"/>
        <v>-1.0183240462923275</v>
      </c>
      <c r="O179" s="14"/>
      <c r="P179" s="2">
        <f>SUM(OSRRefP22_3x_0)</f>
        <v>11.5</v>
      </c>
      <c r="Q179" s="2"/>
      <c r="R179" s="6">
        <f t="shared" si="32"/>
        <v>7.3498934942592211E-7</v>
      </c>
      <c r="S179" s="2"/>
      <c r="T179" s="2">
        <f>SUM(OSRRefT22_3x_0)</f>
        <v>5266.1</v>
      </c>
      <c r="U179" s="2"/>
      <c r="V179" s="6">
        <f t="shared" si="33"/>
        <v>7.3637474013621212E-4</v>
      </c>
      <c r="W179" s="2"/>
      <c r="X179" s="2">
        <f t="shared" si="34"/>
        <v>-5254.6</v>
      </c>
      <c r="Y179" s="2"/>
      <c r="Z179" s="6">
        <f t="shared" si="35"/>
        <v>-0.99781622073261045</v>
      </c>
    </row>
    <row r="180" spans="1:26" s="69" customFormat="1" ht="15" hidden="1" customHeight="1" outlineLevel="2" x14ac:dyDescent="0.3">
      <c r="A180" s="26"/>
      <c r="B180" s="12" t="str">
        <f>CONCATENATE("          ","6272"," - ","CASH (OVER/SHORT)")</f>
        <v xml:space="preserve">          6272 - CASH (OVER/SHORT)</v>
      </c>
      <c r="C180" s="12"/>
      <c r="D180" s="8">
        <v>-59.85</v>
      </c>
      <c r="E180" s="3"/>
      <c r="F180" s="7">
        <f t="shared" si="28"/>
        <v>-2.2284177987516221E-5</v>
      </c>
      <c r="G180" s="3"/>
      <c r="H180" s="8">
        <v>-86.44</v>
      </c>
      <c r="I180" s="3"/>
      <c r="J180" s="7">
        <f t="shared" si="29"/>
        <v>-1.5827723759638104E-4</v>
      </c>
      <c r="K180" s="3"/>
      <c r="L180" s="8">
        <f t="shared" si="30"/>
        <v>26.589999999999996</v>
      </c>
      <c r="M180" s="3"/>
      <c r="N180" s="7">
        <f t="shared" si="31"/>
        <v>-0.30761221656640442</v>
      </c>
      <c r="O180" s="12"/>
      <c r="P180" s="8">
        <v>11.5</v>
      </c>
      <c r="Q180" s="3"/>
      <c r="R180" s="7">
        <f t="shared" si="32"/>
        <v>7.3498934942592211E-7</v>
      </c>
      <c r="S180" s="3"/>
      <c r="T180" s="8">
        <v>-83.32</v>
      </c>
      <c r="U180" s="3"/>
      <c r="V180" s="7">
        <f t="shared" si="33"/>
        <v>-1.1650888389538593E-5</v>
      </c>
      <c r="W180" s="3"/>
      <c r="X180" s="8">
        <f t="shared" si="34"/>
        <v>94.82</v>
      </c>
      <c r="Y180" s="3"/>
      <c r="Z180" s="7">
        <f t="shared" si="35"/>
        <v>-1.1380220835333654</v>
      </c>
    </row>
    <row r="181" spans="1:26" s="69" customFormat="1" ht="15" hidden="1" customHeight="1" outlineLevel="2" x14ac:dyDescent="0.3">
      <c r="A181" s="26"/>
      <c r="B181" s="12" t="str">
        <f>CONCATENATE("          ","6342"," - ","BAD DEBT")</f>
        <v xml:space="preserve">          6342 - BAD DEBT</v>
      </c>
      <c r="C181" s="12"/>
      <c r="D181" s="8"/>
      <c r="E181" s="3"/>
      <c r="F181" s="7">
        <f t="shared" si="28"/>
        <v>0</v>
      </c>
      <c r="G181" s="3"/>
      <c r="H181" s="8">
        <v>3352.64</v>
      </c>
      <c r="I181" s="3"/>
      <c r="J181" s="7">
        <f t="shared" si="29"/>
        <v>6.1389009469589419E-3</v>
      </c>
      <c r="K181" s="3"/>
      <c r="L181" s="8">
        <f t="shared" si="30"/>
        <v>-3352.64</v>
      </c>
      <c r="M181" s="3"/>
      <c r="N181" s="7">
        <f t="shared" si="31"/>
        <v>-1</v>
      </c>
      <c r="O181" s="12"/>
      <c r="P181" s="8"/>
      <c r="Q181" s="3"/>
      <c r="R181" s="7">
        <f t="shared" si="32"/>
        <v>0</v>
      </c>
      <c r="S181" s="3"/>
      <c r="T181" s="8">
        <v>5349.42</v>
      </c>
      <c r="U181" s="3"/>
      <c r="V181" s="7">
        <f t="shared" si="33"/>
        <v>7.4802562852575069E-4</v>
      </c>
      <c r="W181" s="3"/>
      <c r="X181" s="8">
        <f t="shared" si="34"/>
        <v>-5349.42</v>
      </c>
      <c r="Y181" s="3"/>
      <c r="Z181" s="7">
        <f t="shared" si="35"/>
        <v>-1</v>
      </c>
    </row>
    <row r="182" spans="1:26" s="68" customFormat="1" ht="15" customHeight="1" outlineLevel="1" collapsed="1" x14ac:dyDescent="0.3">
      <c r="A182" s="25"/>
      <c r="B182" s="14" t="str">
        <f>CONCATENATE("     ","Bank/card Fees                                    ")</f>
        <v xml:space="preserve">     Bank/card Fees                                    </v>
      </c>
      <c r="C182" s="14"/>
      <c r="D182" s="2">
        <f>SUM(OSRRefD22_4x_0)</f>
        <v>26930.639999999999</v>
      </c>
      <c r="E182" s="2"/>
      <c r="F182" s="6">
        <f t="shared" si="28"/>
        <v>1.002718755351251E-2</v>
      </c>
      <c r="G182" s="2"/>
      <c r="H182" s="2">
        <f>SUM(OSRRefH22_4x_0)</f>
        <v>4877.83</v>
      </c>
      <c r="I182" s="2"/>
      <c r="J182" s="6">
        <f t="shared" si="29"/>
        <v>8.9316226037107291E-3</v>
      </c>
      <c r="K182" s="2"/>
      <c r="L182" s="2">
        <f t="shared" si="30"/>
        <v>22052.809999999998</v>
      </c>
      <c r="M182" s="2"/>
      <c r="N182" s="6">
        <f t="shared" si="31"/>
        <v>4.5210288181424936</v>
      </c>
      <c r="O182" s="14"/>
      <c r="P182" s="2">
        <f>SUM(OSRRefP22_4x_0)</f>
        <v>136592.15</v>
      </c>
      <c r="Q182" s="2"/>
      <c r="R182" s="6">
        <f t="shared" si="32"/>
        <v>8.7298935187119977E-3</v>
      </c>
      <c r="S182" s="2"/>
      <c r="T182" s="2">
        <f>SUM(OSRRefT22_4x_0)</f>
        <v>72469.509999999995</v>
      </c>
      <c r="U182" s="2"/>
      <c r="V182" s="6">
        <f t="shared" si="33"/>
        <v>1.0133631452887074E-2</v>
      </c>
      <c r="W182" s="2"/>
      <c r="X182" s="2">
        <f t="shared" si="34"/>
        <v>64122.64</v>
      </c>
      <c r="Y182" s="2"/>
      <c r="Z182" s="6">
        <f t="shared" si="35"/>
        <v>0.88482232044897235</v>
      </c>
    </row>
    <row r="183" spans="1:26" s="69" customFormat="1" ht="15" hidden="1" customHeight="1" outlineLevel="2" x14ac:dyDescent="0.3">
      <c r="A183" s="26"/>
      <c r="B183" s="12" t="str">
        <f>CONCATENATE("          ","6381"," - ","BANK/CREDIT CARD FEES")</f>
        <v xml:space="preserve">          6381 - BANK/CREDIT CARD FEES</v>
      </c>
      <c r="C183" s="12"/>
      <c r="D183" s="8">
        <v>26930.639999999999</v>
      </c>
      <c r="E183" s="3"/>
      <c r="F183" s="7">
        <f t="shared" si="28"/>
        <v>1.002718755351251E-2</v>
      </c>
      <c r="G183" s="3"/>
      <c r="H183" s="8">
        <v>4877.83</v>
      </c>
      <c r="I183" s="3"/>
      <c r="J183" s="7">
        <f t="shared" si="29"/>
        <v>8.9316226037107291E-3</v>
      </c>
      <c r="K183" s="3"/>
      <c r="L183" s="8">
        <f t="shared" si="30"/>
        <v>22052.809999999998</v>
      </c>
      <c r="M183" s="3"/>
      <c r="N183" s="7">
        <f t="shared" si="31"/>
        <v>4.5210288181424936</v>
      </c>
      <c r="O183" s="12"/>
      <c r="P183" s="8">
        <v>136592.15</v>
      </c>
      <c r="Q183" s="3"/>
      <c r="R183" s="7">
        <f t="shared" si="32"/>
        <v>8.7298935187119977E-3</v>
      </c>
      <c r="S183" s="3"/>
      <c r="T183" s="8">
        <v>72469.509999999995</v>
      </c>
      <c r="U183" s="3"/>
      <c r="V183" s="7">
        <f t="shared" si="33"/>
        <v>1.0133631452887074E-2</v>
      </c>
      <c r="W183" s="3"/>
      <c r="X183" s="8">
        <f t="shared" si="34"/>
        <v>64122.64</v>
      </c>
      <c r="Y183" s="3"/>
      <c r="Z183" s="7">
        <f t="shared" si="35"/>
        <v>0.88482232044897235</v>
      </c>
    </row>
    <row r="184" spans="1:26" s="68" customFormat="1" ht="15" customHeight="1" outlineLevel="1" collapsed="1" x14ac:dyDescent="0.3">
      <c r="A184" s="25"/>
      <c r="B184" s="14" t="str">
        <f>CONCATENATE("     ","Depreciation                                      ")</f>
        <v xml:space="preserve">     Depreciation                                      </v>
      </c>
      <c r="C184" s="14"/>
      <c r="D184" s="2">
        <f>SUM(OSRRefD22_5x_0)</f>
        <v>67687.31</v>
      </c>
      <c r="E184" s="2"/>
      <c r="F184" s="6">
        <f t="shared" si="28"/>
        <v>2.5202273409125921E-2</v>
      </c>
      <c r="G184" s="2"/>
      <c r="H184" s="2">
        <f>SUM(OSRRefH22_5x_0)</f>
        <v>77647.64</v>
      </c>
      <c r="I184" s="2"/>
      <c r="J184" s="6">
        <f t="shared" si="29"/>
        <v>0.14217785706939218</v>
      </c>
      <c r="K184" s="2"/>
      <c r="L184" s="2">
        <f t="shared" si="30"/>
        <v>-9960.3300000000017</v>
      </c>
      <c r="M184" s="2"/>
      <c r="N184" s="6">
        <f t="shared" si="31"/>
        <v>-0.1282760171461747</v>
      </c>
      <c r="O184" s="14"/>
      <c r="P184" s="2">
        <f>SUM(OSRRefP22_5x_0)</f>
        <v>563595.22</v>
      </c>
      <c r="Q184" s="2"/>
      <c r="R184" s="6">
        <f t="shared" si="32"/>
        <v>3.6020563833683426E-2</v>
      </c>
      <c r="S184" s="2"/>
      <c r="T184" s="2">
        <f>SUM(OSRRefT22_5x_0)</f>
        <v>623952.97</v>
      </c>
      <c r="U184" s="2"/>
      <c r="V184" s="6">
        <f t="shared" si="33"/>
        <v>8.7249236843388409E-2</v>
      </c>
      <c r="W184" s="2"/>
      <c r="X184" s="2">
        <f t="shared" si="34"/>
        <v>-60357.75</v>
      </c>
      <c r="Y184" s="2"/>
      <c r="Z184" s="6">
        <f t="shared" si="35"/>
        <v>-9.67344542009312E-2</v>
      </c>
    </row>
    <row r="185" spans="1:26" s="69" customFormat="1" ht="15" hidden="1" customHeight="1" outlineLevel="2" x14ac:dyDescent="0.3">
      <c r="A185" s="26"/>
      <c r="B185" s="12" t="str">
        <f>CONCATENATE("          ","6321"," - ","BUILDING DEPRECIATION")</f>
        <v xml:space="preserve">          6321 - BUILDING DEPRECIATION</v>
      </c>
      <c r="C185" s="12"/>
      <c r="D185" s="8">
        <v>41941.620000000003</v>
      </c>
      <c r="E185" s="3"/>
      <c r="F185" s="7">
        <f t="shared" si="28"/>
        <v>1.5616282793062156E-2</v>
      </c>
      <c r="G185" s="3"/>
      <c r="H185" s="8">
        <v>45060.52</v>
      </c>
      <c r="I185" s="3"/>
      <c r="J185" s="7">
        <f t="shared" si="29"/>
        <v>8.250873010477186E-2</v>
      </c>
      <c r="K185" s="3"/>
      <c r="L185" s="8">
        <f t="shared" si="30"/>
        <v>-3118.8999999999942</v>
      </c>
      <c r="M185" s="3"/>
      <c r="N185" s="7">
        <f t="shared" si="31"/>
        <v>-6.9215801326748885E-2</v>
      </c>
      <c r="O185" s="12"/>
      <c r="P185" s="8">
        <v>354879.84</v>
      </c>
      <c r="Q185" s="3"/>
      <c r="R185" s="7">
        <f t="shared" si="32"/>
        <v>2.268112197617177E-2</v>
      </c>
      <c r="S185" s="3"/>
      <c r="T185" s="8">
        <v>361268.35</v>
      </c>
      <c r="U185" s="3"/>
      <c r="V185" s="7">
        <f t="shared" si="33"/>
        <v>5.0517249454185849E-2</v>
      </c>
      <c r="W185" s="3"/>
      <c r="X185" s="8">
        <f t="shared" si="34"/>
        <v>-6388.5099999999511</v>
      </c>
      <c r="Y185" s="3"/>
      <c r="Z185" s="7">
        <f t="shared" si="35"/>
        <v>-1.768355849605965E-2</v>
      </c>
    </row>
    <row r="186" spans="1:26" s="69" customFormat="1" ht="15" hidden="1" customHeight="1" outlineLevel="2" x14ac:dyDescent="0.3">
      <c r="A186" s="26"/>
      <c r="B186" s="12" t="str">
        <f>CONCATENATE("          ","6322"," - ","EQUIPMENT DEPRECIATION EXPENSE")</f>
        <v xml:space="preserve">          6322 - EQUIPMENT DEPRECIATION EXPENSE</v>
      </c>
      <c r="C186" s="12"/>
      <c r="D186" s="8">
        <v>25745.69</v>
      </c>
      <c r="E186" s="3"/>
      <c r="F186" s="7">
        <f t="shared" si="28"/>
        <v>9.5859906160637668E-3</v>
      </c>
      <c r="G186" s="3"/>
      <c r="H186" s="8">
        <v>32587.119999999999</v>
      </c>
      <c r="I186" s="3"/>
      <c r="J186" s="7">
        <f t="shared" si="29"/>
        <v>5.9669126964620324E-2</v>
      </c>
      <c r="K186" s="3"/>
      <c r="L186" s="8">
        <f t="shared" si="30"/>
        <v>-6841.43</v>
      </c>
      <c r="M186" s="3"/>
      <c r="N186" s="7">
        <f t="shared" si="31"/>
        <v>-0.20994276266205791</v>
      </c>
      <c r="O186" s="12"/>
      <c r="P186" s="8">
        <v>208715.38</v>
      </c>
      <c r="Q186" s="3"/>
      <c r="R186" s="7">
        <f t="shared" si="32"/>
        <v>1.3339441857511663E-2</v>
      </c>
      <c r="S186" s="3"/>
      <c r="T186" s="8">
        <v>262684.62</v>
      </c>
      <c r="U186" s="3"/>
      <c r="V186" s="7">
        <f t="shared" si="33"/>
        <v>3.673198738920256E-2</v>
      </c>
      <c r="W186" s="3"/>
      <c r="X186" s="8">
        <f t="shared" si="34"/>
        <v>-53969.239999999991</v>
      </c>
      <c r="Y186" s="3"/>
      <c r="Z186" s="7">
        <f t="shared" si="35"/>
        <v>-0.20545260700835852</v>
      </c>
    </row>
    <row r="187" spans="1:26" s="68" customFormat="1" ht="15" customHeight="1" outlineLevel="1" collapsed="1" x14ac:dyDescent="0.3">
      <c r="A187" s="25"/>
      <c r="B187" s="14" t="str">
        <f>CONCATENATE("     ","Discounts and Markdowns                           ")</f>
        <v xml:space="preserve">     Discounts and Markdowns                           </v>
      </c>
      <c r="C187" s="14"/>
      <c r="D187" s="2">
        <f>SUM(OSRRefD22_6x_0)</f>
        <v>0</v>
      </c>
      <c r="E187" s="2"/>
      <c r="F187" s="6">
        <f t="shared" si="28"/>
        <v>0</v>
      </c>
      <c r="G187" s="2"/>
      <c r="H187" s="2">
        <f>SUM(OSRRefH22_6x_0)</f>
        <v>42.86</v>
      </c>
      <c r="I187" s="2"/>
      <c r="J187" s="6">
        <f t="shared" si="29"/>
        <v>7.8479435485665099E-5</v>
      </c>
      <c r="K187" s="2"/>
      <c r="L187" s="2">
        <f t="shared" si="30"/>
        <v>-42.86</v>
      </c>
      <c r="M187" s="2"/>
      <c r="N187" s="6">
        <f t="shared" si="31"/>
        <v>-1</v>
      </c>
      <c r="O187" s="14"/>
      <c r="P187" s="2">
        <f>SUM(OSRRefP22_6x_0)</f>
        <v>2064.5499999999997</v>
      </c>
      <c r="Q187" s="2"/>
      <c r="R187" s="6">
        <f t="shared" si="32"/>
        <v>1.3194976185715543E-4</v>
      </c>
      <c r="S187" s="2"/>
      <c r="T187" s="2">
        <f>SUM(OSRRefT22_6x_0)</f>
        <v>0</v>
      </c>
      <c r="U187" s="2"/>
      <c r="V187" s="6">
        <f t="shared" si="33"/>
        <v>0</v>
      </c>
      <c r="W187" s="2"/>
      <c r="X187" s="2">
        <f t="shared" si="34"/>
        <v>2064.5499999999997</v>
      </c>
      <c r="Y187" s="2"/>
      <c r="Z187" s="6">
        <f t="shared" si="35"/>
        <v>0</v>
      </c>
    </row>
    <row r="188" spans="1:26" s="69" customFormat="1" ht="15" hidden="1" customHeight="1" outlineLevel="2" x14ac:dyDescent="0.3">
      <c r="A188" s="26"/>
      <c r="B188" s="12" t="str">
        <f>CONCATENATE("          ","6382"," - ","DISCOUNTS/MARK DOWNS")</f>
        <v xml:space="preserve">          6382 - DISCOUNTS/MARK DOWNS</v>
      </c>
      <c r="C188" s="12"/>
      <c r="D188" s="8"/>
      <c r="E188" s="3"/>
      <c r="F188" s="7">
        <f t="shared" si="28"/>
        <v>0</v>
      </c>
      <c r="G188" s="3"/>
      <c r="H188" s="8">
        <v>0</v>
      </c>
      <c r="I188" s="3"/>
      <c r="J188" s="7">
        <f t="shared" si="29"/>
        <v>0</v>
      </c>
      <c r="K188" s="3"/>
      <c r="L188" s="8">
        <f t="shared" si="30"/>
        <v>0</v>
      </c>
      <c r="M188" s="3"/>
      <c r="N188" s="7">
        <f t="shared" si="31"/>
        <v>0</v>
      </c>
      <c r="O188" s="12"/>
      <c r="P188" s="8">
        <v>2171.35</v>
      </c>
      <c r="Q188" s="3"/>
      <c r="R188" s="7">
        <f t="shared" si="32"/>
        <v>1.3877557598921531E-4</v>
      </c>
      <c r="S188" s="3"/>
      <c r="T188" s="8">
        <v>0</v>
      </c>
      <c r="U188" s="3"/>
      <c r="V188" s="7">
        <f t="shared" si="33"/>
        <v>0</v>
      </c>
      <c r="W188" s="3"/>
      <c r="X188" s="8">
        <f t="shared" si="34"/>
        <v>2171.35</v>
      </c>
      <c r="Y188" s="3"/>
      <c r="Z188" s="7">
        <f t="shared" si="35"/>
        <v>0</v>
      </c>
    </row>
    <row r="189" spans="1:26" s="69" customFormat="1" ht="15" hidden="1" customHeight="1" outlineLevel="2" x14ac:dyDescent="0.3">
      <c r="A189" s="26"/>
      <c r="B189" s="12" t="str">
        <f>CONCATENATE("          ","9175"," - ","EARNED DISCOUNTS")</f>
        <v xml:space="preserve">          9175 - EARNED DISCOUNTS</v>
      </c>
      <c r="C189" s="12"/>
      <c r="D189" s="8">
        <v>0</v>
      </c>
      <c r="E189" s="3"/>
      <c r="F189" s="7">
        <f t="shared" ref="F189:F220" si="36">IF(D$12=0,0,D189/D$12)</f>
        <v>0</v>
      </c>
      <c r="G189" s="3"/>
      <c r="H189" s="8">
        <v>42.86</v>
      </c>
      <c r="I189" s="3"/>
      <c r="J189" s="7">
        <f t="shared" ref="J189:J220" si="37">IF(H$12=0,0,H189/H$12)</f>
        <v>7.8479435485665099E-5</v>
      </c>
      <c r="K189" s="3"/>
      <c r="L189" s="8">
        <f t="shared" ref="L189:L220" si="38">+D189-H189</f>
        <v>-42.86</v>
      </c>
      <c r="M189" s="3"/>
      <c r="N189" s="7">
        <f t="shared" ref="N189:N220" si="39">IF(H189=0,0,L189/H189)</f>
        <v>-1</v>
      </c>
      <c r="O189" s="12"/>
      <c r="P189" s="8">
        <v>-106.8</v>
      </c>
      <c r="Q189" s="3"/>
      <c r="R189" s="7">
        <f t="shared" ref="R189:R220" si="40">IF(P$12=0,0,P189/P$12)</f>
        <v>-6.8258141320598682E-6</v>
      </c>
      <c r="S189" s="3"/>
      <c r="T189" s="8">
        <v>0</v>
      </c>
      <c r="U189" s="3"/>
      <c r="V189" s="7">
        <f t="shared" ref="V189:V220" si="41">IF(T$12=0,0,T189/T$12)</f>
        <v>0</v>
      </c>
      <c r="W189" s="3"/>
      <c r="X189" s="8">
        <f t="shared" ref="X189:X220" si="42">+P189-T189</f>
        <v>-106.8</v>
      </c>
      <c r="Y189" s="3"/>
      <c r="Z189" s="7">
        <f t="shared" ref="Z189:Z220" si="43">IF(T189=0,0,X189/T189)</f>
        <v>0</v>
      </c>
    </row>
    <row r="190" spans="1:26" s="68" customFormat="1" ht="15" customHeight="1" outlineLevel="1" collapsed="1" x14ac:dyDescent="0.3">
      <c r="A190" s="25"/>
      <c r="B190" s="14" t="str">
        <f>CONCATENATE("     ","Donations                                         ")</f>
        <v xml:space="preserve">     Donations                                         </v>
      </c>
      <c r="C190" s="14"/>
      <c r="D190" s="2">
        <f>SUM(OSRRefD22_7x_0)</f>
        <v>11681.61</v>
      </c>
      <c r="E190" s="2"/>
      <c r="F190" s="6">
        <f t="shared" si="36"/>
        <v>4.3494582526440997E-3</v>
      </c>
      <c r="G190" s="2"/>
      <c r="H190" s="2">
        <f>SUM(OSRRefH22_7x_0)</f>
        <v>5361.28</v>
      </c>
      <c r="I190" s="2"/>
      <c r="J190" s="6">
        <f t="shared" si="37"/>
        <v>9.8168508604896537E-3</v>
      </c>
      <c r="K190" s="2"/>
      <c r="L190" s="2">
        <f t="shared" si="38"/>
        <v>6320.3300000000008</v>
      </c>
      <c r="M190" s="2"/>
      <c r="N190" s="6">
        <f t="shared" si="39"/>
        <v>1.1788845201145997</v>
      </c>
      <c r="O190" s="14"/>
      <c r="P190" s="2">
        <f>SUM(OSRRefP22_7x_0)</f>
        <v>55128.480000000003</v>
      </c>
      <c r="Q190" s="2"/>
      <c r="R190" s="6">
        <f t="shared" si="40"/>
        <v>3.5233778826121707E-3</v>
      </c>
      <c r="S190" s="2"/>
      <c r="T190" s="2">
        <f>SUM(OSRRefT22_7x_0)</f>
        <v>43642.43</v>
      </c>
      <c r="U190" s="2"/>
      <c r="V190" s="6">
        <f t="shared" si="41"/>
        <v>6.1026533962824153E-3</v>
      </c>
      <c r="W190" s="2"/>
      <c r="X190" s="2">
        <f t="shared" si="42"/>
        <v>11486.050000000003</v>
      </c>
      <c r="Y190" s="2"/>
      <c r="Z190" s="6">
        <f t="shared" si="43"/>
        <v>0.26318539091430065</v>
      </c>
    </row>
    <row r="191" spans="1:26" s="69" customFormat="1" ht="15" hidden="1" customHeight="1" outlineLevel="2" x14ac:dyDescent="0.3">
      <c r="A191" s="26"/>
      <c r="B191" s="12" t="str">
        <f>CONCATENATE("          ","6399"," - ","DONATION-ON CAMPUS")</f>
        <v xml:space="preserve">          6399 - DONATION-ON CAMPUS</v>
      </c>
      <c r="C191" s="12"/>
      <c r="D191" s="8">
        <v>11681.61</v>
      </c>
      <c r="E191" s="3"/>
      <c r="F191" s="7">
        <f t="shared" si="36"/>
        <v>4.3494582526440997E-3</v>
      </c>
      <c r="G191" s="3"/>
      <c r="H191" s="8">
        <v>5361.28</v>
      </c>
      <c r="I191" s="3"/>
      <c r="J191" s="7">
        <f t="shared" si="37"/>
        <v>9.8168508604896537E-3</v>
      </c>
      <c r="K191" s="3"/>
      <c r="L191" s="8">
        <f t="shared" si="38"/>
        <v>6320.3300000000008</v>
      </c>
      <c r="M191" s="3"/>
      <c r="N191" s="7">
        <f t="shared" si="39"/>
        <v>1.1788845201145997</v>
      </c>
      <c r="O191" s="12"/>
      <c r="P191" s="8">
        <v>55128.480000000003</v>
      </c>
      <c r="Q191" s="3"/>
      <c r="R191" s="7">
        <f t="shared" si="40"/>
        <v>3.5233778826121707E-3</v>
      </c>
      <c r="S191" s="3"/>
      <c r="T191" s="8">
        <v>43642.43</v>
      </c>
      <c r="U191" s="3"/>
      <c r="V191" s="7">
        <f t="shared" si="41"/>
        <v>6.1026533962824153E-3</v>
      </c>
      <c r="W191" s="3"/>
      <c r="X191" s="8">
        <f t="shared" si="42"/>
        <v>11486.050000000003</v>
      </c>
      <c r="Y191" s="3"/>
      <c r="Z191" s="7">
        <f t="shared" si="43"/>
        <v>0.26318539091430065</v>
      </c>
    </row>
    <row r="192" spans="1:26" s="68" customFormat="1" ht="15" customHeight="1" outlineLevel="1" collapsed="1" x14ac:dyDescent="0.3">
      <c r="A192" s="25"/>
      <c r="B192" s="14" t="str">
        <f>CONCATENATE("     ","Employees' Appreciation                           ")</f>
        <v xml:space="preserve">     Employees' Appreciation                           </v>
      </c>
      <c r="C192" s="14"/>
      <c r="D192" s="2">
        <f>SUM(OSRRefD22_8x_0)</f>
        <v>87.37</v>
      </c>
      <c r="E192" s="2"/>
      <c r="F192" s="6">
        <f t="shared" si="36"/>
        <v>3.2530804189963111E-5</v>
      </c>
      <c r="G192" s="2"/>
      <c r="H192" s="2">
        <f>SUM(OSRRefH22_8x_0)</f>
        <v>0</v>
      </c>
      <c r="I192" s="2"/>
      <c r="J192" s="6">
        <f t="shared" si="37"/>
        <v>0</v>
      </c>
      <c r="K192" s="2"/>
      <c r="L192" s="2">
        <f t="shared" si="38"/>
        <v>87.37</v>
      </c>
      <c r="M192" s="2"/>
      <c r="N192" s="6">
        <f t="shared" si="39"/>
        <v>0</v>
      </c>
      <c r="O192" s="14"/>
      <c r="P192" s="2">
        <f>SUM(OSRRefP22_8x_0)</f>
        <v>4885.7700000000004</v>
      </c>
      <c r="Q192" s="2"/>
      <c r="R192" s="6">
        <f t="shared" si="40"/>
        <v>3.1225990554301634E-4</v>
      </c>
      <c r="S192" s="2"/>
      <c r="T192" s="2">
        <f>SUM(OSRRefT22_8x_0)</f>
        <v>196.03</v>
      </c>
      <c r="U192" s="2"/>
      <c r="V192" s="6">
        <f t="shared" si="41"/>
        <v>2.7411469647158554E-5</v>
      </c>
      <c r="W192" s="2"/>
      <c r="X192" s="2">
        <f t="shared" si="42"/>
        <v>4689.7400000000007</v>
      </c>
      <c r="Y192" s="2"/>
      <c r="Z192" s="6">
        <f t="shared" si="43"/>
        <v>23.923583125031886</v>
      </c>
    </row>
    <row r="193" spans="1:26" s="69" customFormat="1" ht="15" hidden="1" customHeight="1" outlineLevel="2" x14ac:dyDescent="0.3">
      <c r="A193" s="26"/>
      <c r="B193" s="12" t="str">
        <f>CONCATENATE("          ","6277"," - ","EMPLOYEE APPRECIATION")</f>
        <v xml:space="preserve">          6277 - EMPLOYEE APPRECIATION</v>
      </c>
      <c r="C193" s="12"/>
      <c r="D193" s="8">
        <v>87.37</v>
      </c>
      <c r="E193" s="3"/>
      <c r="F193" s="7">
        <f t="shared" si="36"/>
        <v>3.2530804189963111E-5</v>
      </c>
      <c r="G193" s="3"/>
      <c r="H193" s="8">
        <v>0</v>
      </c>
      <c r="I193" s="3"/>
      <c r="J193" s="7">
        <f t="shared" si="37"/>
        <v>0</v>
      </c>
      <c r="K193" s="3"/>
      <c r="L193" s="8">
        <f t="shared" si="38"/>
        <v>87.37</v>
      </c>
      <c r="M193" s="3"/>
      <c r="N193" s="7">
        <f t="shared" si="39"/>
        <v>0</v>
      </c>
      <c r="O193" s="12"/>
      <c r="P193" s="8">
        <v>4885.7700000000004</v>
      </c>
      <c r="Q193" s="3"/>
      <c r="R193" s="7">
        <f t="shared" si="40"/>
        <v>3.1225990554301634E-4</v>
      </c>
      <c r="S193" s="3"/>
      <c r="T193" s="8">
        <v>196.03</v>
      </c>
      <c r="U193" s="3"/>
      <c r="V193" s="7">
        <f t="shared" si="41"/>
        <v>2.7411469647158554E-5</v>
      </c>
      <c r="W193" s="3"/>
      <c r="X193" s="8">
        <f t="shared" si="42"/>
        <v>4689.7400000000007</v>
      </c>
      <c r="Y193" s="3"/>
      <c r="Z193" s="7">
        <f t="shared" si="43"/>
        <v>23.923583125031886</v>
      </c>
    </row>
    <row r="194" spans="1:26" s="68" customFormat="1" ht="15" customHeight="1" outlineLevel="1" collapsed="1" x14ac:dyDescent="0.3">
      <c r="A194" s="25"/>
      <c r="B194" s="14" t="str">
        <f>CONCATENATE("     ","Equipment Rental                                  ")</f>
        <v xml:space="preserve">     Equipment Rental                                  </v>
      </c>
      <c r="C194" s="14"/>
      <c r="D194" s="2">
        <f>SUM(OSRRefD22_9x_0)</f>
        <v>2923.75</v>
      </c>
      <c r="E194" s="2"/>
      <c r="F194" s="6">
        <f t="shared" si="36"/>
        <v>1.0886109505597417E-3</v>
      </c>
      <c r="G194" s="2"/>
      <c r="H194" s="2">
        <f>SUM(OSRRefH22_9x_0)</f>
        <v>2772.7</v>
      </c>
      <c r="I194" s="2"/>
      <c r="J194" s="6">
        <f t="shared" si="37"/>
        <v>5.0769932517756326E-3</v>
      </c>
      <c r="K194" s="2"/>
      <c r="L194" s="2">
        <f t="shared" si="38"/>
        <v>151.05000000000018</v>
      </c>
      <c r="M194" s="2"/>
      <c r="N194" s="6">
        <f t="shared" si="39"/>
        <v>5.4477585025426552E-2</v>
      </c>
      <c r="O194" s="14"/>
      <c r="P194" s="2">
        <f>SUM(OSRRefP22_9x_0)</f>
        <v>29248.01</v>
      </c>
      <c r="Q194" s="2"/>
      <c r="R194" s="6">
        <f t="shared" si="40"/>
        <v>1.8693022471219882E-3</v>
      </c>
      <c r="S194" s="2"/>
      <c r="T194" s="2">
        <f>SUM(OSRRefT22_9x_0)</f>
        <v>21148.05</v>
      </c>
      <c r="U194" s="2"/>
      <c r="V194" s="6">
        <f t="shared" si="41"/>
        <v>2.9571959938355934E-3</v>
      </c>
      <c r="W194" s="2"/>
      <c r="X194" s="2">
        <f t="shared" si="42"/>
        <v>8099.9599999999991</v>
      </c>
      <c r="Y194" s="2"/>
      <c r="Z194" s="6">
        <f t="shared" si="43"/>
        <v>0.3830121453278198</v>
      </c>
    </row>
    <row r="195" spans="1:26" s="69" customFormat="1" ht="15" hidden="1" customHeight="1" outlineLevel="2" x14ac:dyDescent="0.3">
      <c r="A195" s="26"/>
      <c r="B195" s="12" t="str">
        <f>CONCATENATE("          ","6351"," - ","EQUIPMENT RENTAL")</f>
        <v xml:space="preserve">          6351 - EQUIPMENT RENTAL</v>
      </c>
      <c r="C195" s="12"/>
      <c r="D195" s="8">
        <v>2923.75</v>
      </c>
      <c r="E195" s="3"/>
      <c r="F195" s="7">
        <f t="shared" si="36"/>
        <v>1.0886109505597417E-3</v>
      </c>
      <c r="G195" s="3"/>
      <c r="H195" s="8">
        <v>2772.7</v>
      </c>
      <c r="I195" s="3"/>
      <c r="J195" s="7">
        <f t="shared" si="37"/>
        <v>5.0769932517756326E-3</v>
      </c>
      <c r="K195" s="3"/>
      <c r="L195" s="8">
        <f t="shared" si="38"/>
        <v>151.05000000000018</v>
      </c>
      <c r="M195" s="3"/>
      <c r="N195" s="7">
        <f t="shared" si="39"/>
        <v>5.4477585025426552E-2</v>
      </c>
      <c r="O195" s="12"/>
      <c r="P195" s="8">
        <v>29248.01</v>
      </c>
      <c r="Q195" s="3"/>
      <c r="R195" s="7">
        <f t="shared" si="40"/>
        <v>1.8693022471219882E-3</v>
      </c>
      <c r="S195" s="3"/>
      <c r="T195" s="8">
        <v>21148.05</v>
      </c>
      <c r="U195" s="3"/>
      <c r="V195" s="7">
        <f t="shared" si="41"/>
        <v>2.9571959938355934E-3</v>
      </c>
      <c r="W195" s="3"/>
      <c r="X195" s="8">
        <f t="shared" si="42"/>
        <v>8099.9599999999991</v>
      </c>
      <c r="Y195" s="3"/>
      <c r="Z195" s="7">
        <f t="shared" si="43"/>
        <v>0.3830121453278198</v>
      </c>
    </row>
    <row r="196" spans="1:26" s="68" customFormat="1" ht="15" customHeight="1" outlineLevel="1" collapsed="1" x14ac:dyDescent="0.3">
      <c r="A196" s="25"/>
      <c r="B196" s="14" t="str">
        <f>CONCATENATE("     ","Freight out/Postage                               ")</f>
        <v xml:space="preserve">     Freight out/Postage                               </v>
      </c>
      <c r="C196" s="14"/>
      <c r="D196" s="2">
        <f>SUM(OSRRefD22_10x_0)</f>
        <v>-7059.8099999999995</v>
      </c>
      <c r="E196" s="2"/>
      <c r="F196" s="6">
        <f t="shared" si="36"/>
        <v>-2.6286058913625207E-3</v>
      </c>
      <c r="G196" s="2"/>
      <c r="H196" s="2">
        <f>SUM(OSRRefH22_10x_0)</f>
        <v>4344.1700000000019</v>
      </c>
      <c r="I196" s="2"/>
      <c r="J196" s="6">
        <f t="shared" si="37"/>
        <v>7.9544565854820799E-3</v>
      </c>
      <c r="K196" s="2"/>
      <c r="L196" s="2">
        <f t="shared" si="38"/>
        <v>-11403.980000000001</v>
      </c>
      <c r="M196" s="2"/>
      <c r="N196" s="6">
        <f t="shared" si="39"/>
        <v>-2.6251228658178656</v>
      </c>
      <c r="O196" s="14"/>
      <c r="P196" s="2">
        <f>SUM(OSRRefP22_10x_0)</f>
        <v>-46385.16</v>
      </c>
      <c r="Q196" s="2"/>
      <c r="R196" s="6">
        <f t="shared" si="40"/>
        <v>-2.9645737888188963E-3</v>
      </c>
      <c r="S196" s="2"/>
      <c r="T196" s="2">
        <f>SUM(OSRRefT22_10x_0)</f>
        <v>-31366.97</v>
      </c>
      <c r="U196" s="2"/>
      <c r="V196" s="6">
        <f t="shared" si="41"/>
        <v>-4.3861385812290618E-3</v>
      </c>
      <c r="W196" s="2"/>
      <c r="X196" s="2">
        <f t="shared" si="42"/>
        <v>-15018.190000000002</v>
      </c>
      <c r="Y196" s="2"/>
      <c r="Z196" s="6">
        <f t="shared" si="43"/>
        <v>0.47878995006530761</v>
      </c>
    </row>
    <row r="197" spans="1:26" s="69" customFormat="1" ht="15" hidden="1" customHeight="1" outlineLevel="2" x14ac:dyDescent="0.3">
      <c r="A197" s="26"/>
      <c r="B197" s="12" t="str">
        <f>CONCATENATE("          ","6305"," - ","FREIGHT OUT")</f>
        <v xml:space="preserve">          6305 - FREIGHT OUT</v>
      </c>
      <c r="C197" s="12"/>
      <c r="D197" s="8">
        <v>7594.99</v>
      </c>
      <c r="E197" s="3"/>
      <c r="F197" s="7">
        <f t="shared" si="36"/>
        <v>2.8278714949608319E-3</v>
      </c>
      <c r="G197" s="3"/>
      <c r="H197" s="8">
        <v>26356.7</v>
      </c>
      <c r="I197" s="3"/>
      <c r="J197" s="7">
        <f t="shared" si="37"/>
        <v>4.8260824481218607E-2</v>
      </c>
      <c r="K197" s="3"/>
      <c r="L197" s="8">
        <f t="shared" si="38"/>
        <v>-18761.71</v>
      </c>
      <c r="M197" s="3"/>
      <c r="N197" s="7">
        <f t="shared" si="39"/>
        <v>-0.71183835609161994</v>
      </c>
      <c r="O197" s="12"/>
      <c r="P197" s="8">
        <v>101854.19</v>
      </c>
      <c r="Q197" s="3"/>
      <c r="R197" s="7">
        <f t="shared" si="40"/>
        <v>6.5097169429916757E-3</v>
      </c>
      <c r="S197" s="3"/>
      <c r="T197" s="8">
        <v>162946.46</v>
      </c>
      <c r="U197" s="3"/>
      <c r="V197" s="7">
        <f t="shared" si="41"/>
        <v>2.2785297874824952E-2</v>
      </c>
      <c r="W197" s="3"/>
      <c r="X197" s="8">
        <f t="shared" si="42"/>
        <v>-61092.26999999999</v>
      </c>
      <c r="Y197" s="3"/>
      <c r="Z197" s="7">
        <f t="shared" si="43"/>
        <v>-0.37492235179579841</v>
      </c>
    </row>
    <row r="198" spans="1:26" s="69" customFormat="1" ht="15" hidden="1" customHeight="1" outlineLevel="2" x14ac:dyDescent="0.3">
      <c r="A198" s="26"/>
      <c r="B198" s="12" t="str">
        <f>CONCATENATE("          ","6307"," - ","POSTAGE")</f>
        <v xml:space="preserve">          6307 - POSTAGE</v>
      </c>
      <c r="C198" s="12"/>
      <c r="D198" s="8">
        <v>-14654.8</v>
      </c>
      <c r="E198" s="3"/>
      <c r="F198" s="7">
        <f t="shared" si="36"/>
        <v>-5.456477386323353E-3</v>
      </c>
      <c r="G198" s="3"/>
      <c r="H198" s="8">
        <v>-22012.53</v>
      </c>
      <c r="I198" s="3"/>
      <c r="J198" s="7">
        <f t="shared" si="37"/>
        <v>-4.0306367895736529E-2</v>
      </c>
      <c r="K198" s="3"/>
      <c r="L198" s="8">
        <f t="shared" si="38"/>
        <v>7357.73</v>
      </c>
      <c r="M198" s="3"/>
      <c r="N198" s="7">
        <f t="shared" si="39"/>
        <v>-0.33425190107634151</v>
      </c>
      <c r="O198" s="12"/>
      <c r="P198" s="8">
        <v>-148239.35</v>
      </c>
      <c r="Q198" s="3"/>
      <c r="R198" s="7">
        <f t="shared" si="40"/>
        <v>-9.474290731810572E-3</v>
      </c>
      <c r="S198" s="3"/>
      <c r="T198" s="8">
        <v>-194313.43</v>
      </c>
      <c r="U198" s="3"/>
      <c r="V198" s="7">
        <f t="shared" si="41"/>
        <v>-2.7171436456054011E-2</v>
      </c>
      <c r="W198" s="3"/>
      <c r="X198" s="8">
        <f t="shared" si="42"/>
        <v>46074.079999999987</v>
      </c>
      <c r="Y198" s="3"/>
      <c r="Z198" s="7">
        <f t="shared" si="43"/>
        <v>-0.23711217490216702</v>
      </c>
    </row>
    <row r="199" spans="1:26" s="68" customFormat="1" ht="15" customHeight="1" outlineLevel="1" collapsed="1" x14ac:dyDescent="0.3">
      <c r="A199" s="25"/>
      <c r="B199" s="14" t="str">
        <f>CONCATENATE("     ","General                                           ")</f>
        <v xml:space="preserve">     General                                           </v>
      </c>
      <c r="C199" s="14"/>
      <c r="D199" s="2">
        <f>SUM(OSRRefD22_11x_0)</f>
        <v>4708.4399999999996</v>
      </c>
      <c r="E199" s="2"/>
      <c r="F199" s="6">
        <f t="shared" si="36"/>
        <v>1.7531113617968398E-3</v>
      </c>
      <c r="G199" s="2"/>
      <c r="H199" s="2">
        <f>SUM(OSRRefH22_11x_0)</f>
        <v>1888.82</v>
      </c>
      <c r="I199" s="2"/>
      <c r="J199" s="6">
        <f t="shared" si="37"/>
        <v>3.4585517343451696E-3</v>
      </c>
      <c r="K199" s="2"/>
      <c r="L199" s="2">
        <f t="shared" si="38"/>
        <v>2819.62</v>
      </c>
      <c r="M199" s="2"/>
      <c r="N199" s="6">
        <f t="shared" si="39"/>
        <v>1.4927944430914539</v>
      </c>
      <c r="O199" s="14"/>
      <c r="P199" s="2">
        <f>SUM(OSRRefP22_11x_0)</f>
        <v>40344.54</v>
      </c>
      <c r="Q199" s="2"/>
      <c r="R199" s="6">
        <f t="shared" si="40"/>
        <v>2.5785049745641821E-3</v>
      </c>
      <c r="S199" s="2"/>
      <c r="T199" s="2">
        <f>SUM(OSRRefT22_11x_0)</f>
        <v>19397.04</v>
      </c>
      <c r="U199" s="2"/>
      <c r="V199" s="6">
        <f t="shared" si="41"/>
        <v>2.7123469530414752E-3</v>
      </c>
      <c r="W199" s="2"/>
      <c r="X199" s="2">
        <f t="shared" si="42"/>
        <v>20947.5</v>
      </c>
      <c r="Y199" s="2"/>
      <c r="Z199" s="6">
        <f t="shared" si="43"/>
        <v>1.0799328144912832</v>
      </c>
    </row>
    <row r="200" spans="1:26" s="69" customFormat="1" ht="15" hidden="1" customHeight="1" outlineLevel="2" x14ac:dyDescent="0.3">
      <c r="A200" s="26"/>
      <c r="B200" s="12" t="str">
        <f>CONCATENATE("          ","6279"," - ","GENERAL EXPENSE")</f>
        <v xml:space="preserve">          6279 - GENERAL EXPENSE</v>
      </c>
      <c r="C200" s="12"/>
      <c r="D200" s="8">
        <v>4708.4399999999996</v>
      </c>
      <c r="E200" s="3"/>
      <c r="F200" s="7">
        <f t="shared" si="36"/>
        <v>1.7531113617968398E-3</v>
      </c>
      <c r="G200" s="3"/>
      <c r="H200" s="8">
        <v>1888.82</v>
      </c>
      <c r="I200" s="3"/>
      <c r="J200" s="7">
        <f t="shared" si="37"/>
        <v>3.4585517343451696E-3</v>
      </c>
      <c r="K200" s="3"/>
      <c r="L200" s="8">
        <f t="shared" si="38"/>
        <v>2819.62</v>
      </c>
      <c r="M200" s="3"/>
      <c r="N200" s="7">
        <f t="shared" si="39"/>
        <v>1.4927944430914539</v>
      </c>
      <c r="O200" s="12"/>
      <c r="P200" s="8">
        <v>40344.54</v>
      </c>
      <c r="Q200" s="3"/>
      <c r="R200" s="7">
        <f t="shared" si="40"/>
        <v>2.5785049745641821E-3</v>
      </c>
      <c r="S200" s="3"/>
      <c r="T200" s="8">
        <v>19397.04</v>
      </c>
      <c r="U200" s="3"/>
      <c r="V200" s="7">
        <f t="shared" si="41"/>
        <v>2.7123469530414752E-3</v>
      </c>
      <c r="W200" s="3"/>
      <c r="X200" s="8">
        <f t="shared" si="42"/>
        <v>20947.5</v>
      </c>
      <c r="Y200" s="3"/>
      <c r="Z200" s="7">
        <f t="shared" si="43"/>
        <v>1.0799328144912832</v>
      </c>
    </row>
    <row r="201" spans="1:26" s="68" customFormat="1" ht="15" customHeight="1" outlineLevel="1" collapsed="1" x14ac:dyDescent="0.3">
      <c r="A201" s="25"/>
      <c r="B201" s="14" t="str">
        <f>CONCATENATE("     ","Insurance                                         ")</f>
        <v xml:space="preserve">     Insurance                                         </v>
      </c>
      <c r="C201" s="14"/>
      <c r="D201" s="2">
        <f>SUM(OSRRefD22_12x_0)</f>
        <v>11626.43</v>
      </c>
      <c r="E201" s="2"/>
      <c r="F201" s="6">
        <f t="shared" si="36"/>
        <v>4.3289128735070712E-3</v>
      </c>
      <c r="G201" s="2"/>
      <c r="H201" s="2">
        <f>SUM(OSRRefH22_12x_0)</f>
        <v>8563.32</v>
      </c>
      <c r="I201" s="2"/>
      <c r="J201" s="6">
        <f t="shared" si="37"/>
        <v>1.5679993455042129E-2</v>
      </c>
      <c r="K201" s="2"/>
      <c r="L201" s="2">
        <f t="shared" si="38"/>
        <v>3063.1100000000006</v>
      </c>
      <c r="M201" s="2"/>
      <c r="N201" s="6">
        <f t="shared" si="39"/>
        <v>0.35770121868621058</v>
      </c>
      <c r="O201" s="14"/>
      <c r="P201" s="2">
        <f>SUM(OSRRefP22_12x_0)</f>
        <v>99894.45</v>
      </c>
      <c r="Q201" s="2"/>
      <c r="R201" s="6">
        <f t="shared" si="40"/>
        <v>6.3844658101530703E-3</v>
      </c>
      <c r="S201" s="2"/>
      <c r="T201" s="2">
        <f>SUM(OSRRefT22_12x_0)</f>
        <v>74618.559999999998</v>
      </c>
      <c r="U201" s="2"/>
      <c r="V201" s="6">
        <f t="shared" si="41"/>
        <v>1.0434139634518591E-2</v>
      </c>
      <c r="W201" s="2"/>
      <c r="X201" s="2">
        <f t="shared" si="42"/>
        <v>25275.89</v>
      </c>
      <c r="Y201" s="2"/>
      <c r="Z201" s="6">
        <f t="shared" si="43"/>
        <v>0.33873462580891406</v>
      </c>
    </row>
    <row r="202" spans="1:26" s="69" customFormat="1" ht="15" hidden="1" customHeight="1" outlineLevel="2" x14ac:dyDescent="0.3">
      <c r="A202" s="26"/>
      <c r="B202" s="12" t="str">
        <f>CONCATENATE("          ","6314"," - ","LIABILITY INSURANCE")</f>
        <v xml:space="preserve">          6314 - LIABILITY INSURANCE</v>
      </c>
      <c r="C202" s="12"/>
      <c r="D202" s="8">
        <v>11626.43</v>
      </c>
      <c r="E202" s="3"/>
      <c r="F202" s="7">
        <f t="shared" si="36"/>
        <v>4.3289128735070712E-3</v>
      </c>
      <c r="G202" s="3"/>
      <c r="H202" s="8">
        <v>8563.32</v>
      </c>
      <c r="I202" s="3"/>
      <c r="J202" s="7">
        <f t="shared" si="37"/>
        <v>1.5679993455042129E-2</v>
      </c>
      <c r="K202" s="3"/>
      <c r="L202" s="8">
        <f t="shared" si="38"/>
        <v>3063.1100000000006</v>
      </c>
      <c r="M202" s="3"/>
      <c r="N202" s="7">
        <f t="shared" si="39"/>
        <v>0.35770121868621058</v>
      </c>
      <c r="O202" s="12"/>
      <c r="P202" s="8">
        <v>99894.45</v>
      </c>
      <c r="Q202" s="3"/>
      <c r="R202" s="7">
        <f t="shared" si="40"/>
        <v>6.3844658101530703E-3</v>
      </c>
      <c r="S202" s="3"/>
      <c r="T202" s="8">
        <v>74618.559999999998</v>
      </c>
      <c r="U202" s="3"/>
      <c r="V202" s="7">
        <f t="shared" si="41"/>
        <v>1.0434139634518591E-2</v>
      </c>
      <c r="W202" s="3"/>
      <c r="X202" s="8">
        <f t="shared" si="42"/>
        <v>25275.89</v>
      </c>
      <c r="Y202" s="3"/>
      <c r="Z202" s="7">
        <f t="shared" si="43"/>
        <v>0.33873462580891406</v>
      </c>
    </row>
    <row r="203" spans="1:26" s="68" customFormat="1" ht="15" customHeight="1" outlineLevel="1" collapsed="1" x14ac:dyDescent="0.3">
      <c r="A203" s="25"/>
      <c r="B203" s="14" t="str">
        <f>CONCATENATE("     ","Interest                                          ")</f>
        <v xml:space="preserve">     Interest                                          </v>
      </c>
      <c r="C203" s="14"/>
      <c r="D203" s="2">
        <f>SUM(OSRRefD22_13x_0)</f>
        <v>11158</v>
      </c>
      <c r="E203" s="2"/>
      <c r="F203" s="6">
        <f t="shared" si="36"/>
        <v>4.1545005511229071E-3</v>
      </c>
      <c r="G203" s="2"/>
      <c r="H203" s="2">
        <f>SUM(OSRRefH22_13x_0)</f>
        <v>11554</v>
      </c>
      <c r="I203" s="2"/>
      <c r="J203" s="6">
        <f t="shared" si="37"/>
        <v>2.1156122202551905E-2</v>
      </c>
      <c r="K203" s="2"/>
      <c r="L203" s="2">
        <f t="shared" si="38"/>
        <v>-396</v>
      </c>
      <c r="M203" s="2"/>
      <c r="N203" s="6">
        <f t="shared" si="39"/>
        <v>-3.4273844555997926E-2</v>
      </c>
      <c r="O203" s="14"/>
      <c r="P203" s="2">
        <f>SUM(OSRRefP22_13x_0)</f>
        <v>88474</v>
      </c>
      <c r="Q203" s="2"/>
      <c r="R203" s="6">
        <f t="shared" si="40"/>
        <v>5.6545606696616554E-3</v>
      </c>
      <c r="S203" s="2"/>
      <c r="T203" s="2">
        <f>SUM(OSRRefT22_13x_0)</f>
        <v>91683</v>
      </c>
      <c r="U203" s="2"/>
      <c r="V203" s="6">
        <f t="shared" si="41"/>
        <v>1.282031205254521E-2</v>
      </c>
      <c r="W203" s="2"/>
      <c r="X203" s="2">
        <f t="shared" si="42"/>
        <v>-3209</v>
      </c>
      <c r="Y203" s="2"/>
      <c r="Z203" s="6">
        <f t="shared" si="43"/>
        <v>-3.5001036179008106E-2</v>
      </c>
    </row>
    <row r="204" spans="1:26" s="69" customFormat="1" ht="15" hidden="1" customHeight="1" outlineLevel="2" x14ac:dyDescent="0.3">
      <c r="A204" s="26"/>
      <c r="B204" s="12" t="str">
        <f>CONCATENATE("          ","6401"," - ","INTEREST EXPENSE")</f>
        <v xml:space="preserve">          6401 - INTEREST EXPENSE</v>
      </c>
      <c r="C204" s="12"/>
      <c r="D204" s="8">
        <v>11158</v>
      </c>
      <c r="E204" s="3"/>
      <c r="F204" s="7">
        <f t="shared" si="36"/>
        <v>4.1545005511229071E-3</v>
      </c>
      <c r="G204" s="3"/>
      <c r="H204" s="8">
        <v>11554</v>
      </c>
      <c r="I204" s="3"/>
      <c r="J204" s="7">
        <f t="shared" si="37"/>
        <v>2.1156122202551905E-2</v>
      </c>
      <c r="K204" s="3"/>
      <c r="L204" s="8">
        <f t="shared" si="38"/>
        <v>-396</v>
      </c>
      <c r="M204" s="3"/>
      <c r="N204" s="7">
        <f t="shared" si="39"/>
        <v>-3.4273844555997926E-2</v>
      </c>
      <c r="O204" s="12"/>
      <c r="P204" s="8">
        <v>88474</v>
      </c>
      <c r="Q204" s="3"/>
      <c r="R204" s="7">
        <f t="shared" si="40"/>
        <v>5.6545606696616554E-3</v>
      </c>
      <c r="S204" s="3"/>
      <c r="T204" s="8">
        <v>91683</v>
      </c>
      <c r="U204" s="3"/>
      <c r="V204" s="7">
        <f t="shared" si="41"/>
        <v>1.282031205254521E-2</v>
      </c>
      <c r="W204" s="3"/>
      <c r="X204" s="8">
        <f t="shared" si="42"/>
        <v>-3209</v>
      </c>
      <c r="Y204" s="3"/>
      <c r="Z204" s="7">
        <f t="shared" si="43"/>
        <v>-3.5001036179008106E-2</v>
      </c>
    </row>
    <row r="205" spans="1:26" s="68" customFormat="1" ht="15" customHeight="1" outlineLevel="1" collapsed="1" x14ac:dyDescent="0.3">
      <c r="A205" s="25"/>
      <c r="B205" s="14" t="str">
        <f>CONCATENATE("     ","Inventory Adjustment                              ")</f>
        <v xml:space="preserve">     Inventory Adjustment                              </v>
      </c>
      <c r="C205" s="14"/>
      <c r="D205" s="2">
        <f>SUM(OSRRefD22_14x_0)</f>
        <v>5690</v>
      </c>
      <c r="E205" s="2"/>
      <c r="F205" s="6">
        <f t="shared" si="36"/>
        <v>2.1185793274681249E-3</v>
      </c>
      <c r="G205" s="2"/>
      <c r="H205" s="2">
        <f>SUM(OSRRefH22_14x_0)</f>
        <v>3350</v>
      </c>
      <c r="I205" s="2"/>
      <c r="J205" s="6">
        <f t="shared" si="37"/>
        <v>6.1340669360004227E-3</v>
      </c>
      <c r="K205" s="2"/>
      <c r="L205" s="2">
        <f t="shared" si="38"/>
        <v>2340</v>
      </c>
      <c r="M205" s="2"/>
      <c r="N205" s="6">
        <f t="shared" si="39"/>
        <v>0.69850746268656716</v>
      </c>
      <c r="O205" s="14"/>
      <c r="P205" s="2">
        <f>SUM(OSRRefP22_14x_0)</f>
        <v>52000</v>
      </c>
      <c r="Q205" s="2"/>
      <c r="R205" s="6">
        <f t="shared" si="40"/>
        <v>3.3234301017519958E-3</v>
      </c>
      <c r="S205" s="2"/>
      <c r="T205" s="2">
        <f>SUM(OSRRefT22_14x_0)</f>
        <v>31800</v>
      </c>
      <c r="U205" s="2"/>
      <c r="V205" s="6">
        <f t="shared" si="41"/>
        <v>4.4466904799247151E-3</v>
      </c>
      <c r="W205" s="2"/>
      <c r="X205" s="2">
        <f t="shared" si="42"/>
        <v>20200</v>
      </c>
      <c r="Y205" s="2"/>
      <c r="Z205" s="6">
        <f t="shared" si="43"/>
        <v>0.63522012578616349</v>
      </c>
    </row>
    <row r="206" spans="1:26" s="69" customFormat="1" ht="15" hidden="1" customHeight="1" outlineLevel="2" x14ac:dyDescent="0.3">
      <c r="A206" s="26"/>
      <c r="B206" s="12" t="str">
        <f>CONCATENATE("          ","6408"," - ","INVENTORY ADJUSTMENT")</f>
        <v xml:space="preserve">          6408 - INVENTORY ADJUSTMENT</v>
      </c>
      <c r="C206" s="12"/>
      <c r="D206" s="8">
        <v>5690</v>
      </c>
      <c r="E206" s="3"/>
      <c r="F206" s="7">
        <f t="shared" si="36"/>
        <v>2.1185793274681249E-3</v>
      </c>
      <c r="G206" s="3"/>
      <c r="H206" s="8">
        <v>3350</v>
      </c>
      <c r="I206" s="3"/>
      <c r="J206" s="7">
        <f t="shared" si="37"/>
        <v>6.1340669360004227E-3</v>
      </c>
      <c r="K206" s="3"/>
      <c r="L206" s="8">
        <f t="shared" si="38"/>
        <v>2340</v>
      </c>
      <c r="M206" s="3"/>
      <c r="N206" s="7">
        <f t="shared" si="39"/>
        <v>0.69850746268656716</v>
      </c>
      <c r="O206" s="12"/>
      <c r="P206" s="8">
        <v>52000</v>
      </c>
      <c r="Q206" s="3"/>
      <c r="R206" s="7">
        <f t="shared" si="40"/>
        <v>3.3234301017519958E-3</v>
      </c>
      <c r="S206" s="3"/>
      <c r="T206" s="8">
        <v>31800</v>
      </c>
      <c r="U206" s="3"/>
      <c r="V206" s="7">
        <f t="shared" si="41"/>
        <v>4.4466904799247151E-3</v>
      </c>
      <c r="W206" s="3"/>
      <c r="X206" s="8">
        <f t="shared" si="42"/>
        <v>20200</v>
      </c>
      <c r="Y206" s="3"/>
      <c r="Z206" s="7">
        <f t="shared" si="43"/>
        <v>0.63522012578616349</v>
      </c>
    </row>
    <row r="207" spans="1:26" s="69" customFormat="1" ht="15" hidden="1" customHeight="1" outlineLevel="2" x14ac:dyDescent="0.3">
      <c r="A207" s="26"/>
      <c r="B207" s="12" t="str">
        <f>CONCATENATE("          ","7741"," - ","INV. SHRINKAGE-LOGO GIFTS")</f>
        <v xml:space="preserve">          7741 - INV. SHRINKAGE-LOGO GIFTS</v>
      </c>
      <c r="C207" s="12"/>
      <c r="D207" s="8"/>
      <c r="E207" s="3"/>
      <c r="F207" s="7">
        <f t="shared" si="36"/>
        <v>0</v>
      </c>
      <c r="G207" s="3"/>
      <c r="H207" s="8"/>
      <c r="I207" s="3"/>
      <c r="J207" s="7">
        <f t="shared" si="37"/>
        <v>0</v>
      </c>
      <c r="K207" s="3"/>
      <c r="L207" s="8">
        <f t="shared" si="38"/>
        <v>0</v>
      </c>
      <c r="M207" s="3"/>
      <c r="N207" s="7">
        <f t="shared" si="39"/>
        <v>0</v>
      </c>
      <c r="O207" s="12"/>
      <c r="P207" s="8"/>
      <c r="Q207" s="3"/>
      <c r="R207" s="7">
        <f t="shared" si="40"/>
        <v>0</v>
      </c>
      <c r="S207" s="3"/>
      <c r="T207" s="8">
        <v>0</v>
      </c>
      <c r="U207" s="3"/>
      <c r="V207" s="7">
        <f t="shared" si="41"/>
        <v>0</v>
      </c>
      <c r="W207" s="3"/>
      <c r="X207" s="8">
        <f t="shared" si="42"/>
        <v>0</v>
      </c>
      <c r="Y207" s="3"/>
      <c r="Z207" s="7">
        <f t="shared" si="43"/>
        <v>0</v>
      </c>
    </row>
    <row r="208" spans="1:26" s="68" customFormat="1" ht="15" customHeight="1" outlineLevel="1" collapsed="1" x14ac:dyDescent="0.3">
      <c r="A208" s="25"/>
      <c r="B208" s="14" t="str">
        <f>CONCATENATE("     ","Professional Services                             ")</f>
        <v xml:space="preserve">     Professional Services                             </v>
      </c>
      <c r="C208" s="14"/>
      <c r="D208" s="2">
        <f>SUM(OSRRefD22_15x_0)</f>
        <v>390</v>
      </c>
      <c r="E208" s="2"/>
      <c r="F208" s="6">
        <f t="shared" si="36"/>
        <v>1.4521018237479241E-4</v>
      </c>
      <c r="G208" s="2"/>
      <c r="H208" s="2">
        <f>SUM(OSRRefH22_15x_0)</f>
        <v>0</v>
      </c>
      <c r="I208" s="2"/>
      <c r="J208" s="6">
        <f t="shared" si="37"/>
        <v>0</v>
      </c>
      <c r="K208" s="2"/>
      <c r="L208" s="2">
        <f t="shared" si="38"/>
        <v>390</v>
      </c>
      <c r="M208" s="2"/>
      <c r="N208" s="6">
        <f t="shared" si="39"/>
        <v>0</v>
      </c>
      <c r="O208" s="14"/>
      <c r="P208" s="2">
        <f>SUM(OSRRefP22_15x_0)</f>
        <v>8576.5300000000007</v>
      </c>
      <c r="Q208" s="2"/>
      <c r="R208" s="6">
        <f t="shared" si="40"/>
        <v>5.4814419174190477E-4</v>
      </c>
      <c r="S208" s="2"/>
      <c r="T208" s="2">
        <f>SUM(OSRRefT22_15x_0)</f>
        <v>0</v>
      </c>
      <c r="U208" s="2"/>
      <c r="V208" s="6">
        <f t="shared" si="41"/>
        <v>0</v>
      </c>
      <c r="W208" s="2"/>
      <c r="X208" s="2">
        <f t="shared" si="42"/>
        <v>8576.5300000000007</v>
      </c>
      <c r="Y208" s="2"/>
      <c r="Z208" s="6">
        <f t="shared" si="43"/>
        <v>0</v>
      </c>
    </row>
    <row r="209" spans="1:26" s="69" customFormat="1" ht="15" hidden="1" customHeight="1" outlineLevel="2" x14ac:dyDescent="0.3">
      <c r="A209" s="26"/>
      <c r="B209" s="12" t="str">
        <f>CONCATENATE("          ","6336"," - ","PROFESSIONAL SERVICES")</f>
        <v xml:space="preserve">          6336 - PROFESSIONAL SERVICES</v>
      </c>
      <c r="C209" s="12"/>
      <c r="D209" s="8">
        <v>390</v>
      </c>
      <c r="E209" s="3"/>
      <c r="F209" s="7">
        <f t="shared" si="36"/>
        <v>1.4521018237479241E-4</v>
      </c>
      <c r="G209" s="3"/>
      <c r="H209" s="8"/>
      <c r="I209" s="3"/>
      <c r="J209" s="7">
        <f t="shared" si="37"/>
        <v>0</v>
      </c>
      <c r="K209" s="3"/>
      <c r="L209" s="8">
        <f t="shared" si="38"/>
        <v>390</v>
      </c>
      <c r="M209" s="3"/>
      <c r="N209" s="7">
        <f t="shared" si="39"/>
        <v>0</v>
      </c>
      <c r="O209" s="12"/>
      <c r="P209" s="8">
        <v>8576.5300000000007</v>
      </c>
      <c r="Q209" s="3"/>
      <c r="R209" s="7">
        <f t="shared" si="40"/>
        <v>5.4814419174190477E-4</v>
      </c>
      <c r="S209" s="3"/>
      <c r="T209" s="8"/>
      <c r="U209" s="3"/>
      <c r="V209" s="7">
        <f t="shared" si="41"/>
        <v>0</v>
      </c>
      <c r="W209" s="3"/>
      <c r="X209" s="8">
        <f t="shared" si="42"/>
        <v>8576.5300000000007</v>
      </c>
      <c r="Y209" s="3"/>
      <c r="Z209" s="7">
        <f t="shared" si="43"/>
        <v>0</v>
      </c>
    </row>
    <row r="210" spans="1:26" s="68" customFormat="1" ht="15" customHeight="1" outlineLevel="1" collapsed="1" x14ac:dyDescent="0.3">
      <c r="A210" s="25"/>
      <c r="B210" s="14" t="str">
        <f>CONCATENATE("     ","R/H Commissions                                   ")</f>
        <v xml:space="preserve">     R/H Commissions                                   </v>
      </c>
      <c r="C210" s="14"/>
      <c r="D210" s="2">
        <f>SUM(OSRRefD22_16x_0)</f>
        <v>109401.29</v>
      </c>
      <c r="E210" s="2"/>
      <c r="F210" s="6">
        <f t="shared" si="36"/>
        <v>4.0733798135737312E-2</v>
      </c>
      <c r="G210" s="2"/>
      <c r="H210" s="2">
        <f>SUM(OSRRefH22_16x_0)</f>
        <v>6342.49</v>
      </c>
      <c r="I210" s="2"/>
      <c r="J210" s="6">
        <f t="shared" si="37"/>
        <v>1.1613509910720392E-2</v>
      </c>
      <c r="K210" s="2"/>
      <c r="L210" s="2">
        <f t="shared" si="38"/>
        <v>103058.79999999999</v>
      </c>
      <c r="M210" s="2"/>
      <c r="N210" s="6">
        <f t="shared" si="39"/>
        <v>16.248949545052493</v>
      </c>
      <c r="O210" s="14"/>
      <c r="P210" s="2">
        <f>SUM(OSRRefP22_16x_0)</f>
        <v>609028.68999999994</v>
      </c>
      <c r="Q210" s="2"/>
      <c r="R210" s="6">
        <f t="shared" si="40"/>
        <v>3.8924313099549704E-2</v>
      </c>
      <c r="S210" s="2"/>
      <c r="T210" s="2">
        <f>SUM(OSRRefT22_16x_0)</f>
        <v>52255.85</v>
      </c>
      <c r="U210" s="2"/>
      <c r="V210" s="6">
        <f t="shared" si="41"/>
        <v>7.3070940476532686E-3</v>
      </c>
      <c r="W210" s="2"/>
      <c r="X210" s="2">
        <f t="shared" si="42"/>
        <v>556772.84</v>
      </c>
      <c r="Y210" s="2"/>
      <c r="Z210" s="6">
        <f t="shared" si="43"/>
        <v>10.654746597749343</v>
      </c>
    </row>
    <row r="211" spans="1:26" s="69" customFormat="1" ht="15" hidden="1" customHeight="1" outlineLevel="2" x14ac:dyDescent="0.3">
      <c r="A211" s="26"/>
      <c r="B211" s="12" t="str">
        <f>CONCATENATE("          ","6387"," - ","COMMISSION DUE HOUSING")</f>
        <v xml:space="preserve">          6387 - COMMISSION DUE HOUSING</v>
      </c>
      <c r="C211" s="12"/>
      <c r="D211" s="8">
        <v>109401.29</v>
      </c>
      <c r="E211" s="3"/>
      <c r="F211" s="7">
        <f t="shared" si="36"/>
        <v>4.0733798135737312E-2</v>
      </c>
      <c r="G211" s="3"/>
      <c r="H211" s="8">
        <v>6342.49</v>
      </c>
      <c r="I211" s="3"/>
      <c r="J211" s="7">
        <f t="shared" si="37"/>
        <v>1.1613509910720392E-2</v>
      </c>
      <c r="K211" s="3"/>
      <c r="L211" s="8">
        <f t="shared" si="38"/>
        <v>103058.79999999999</v>
      </c>
      <c r="M211" s="3"/>
      <c r="N211" s="7">
        <f t="shared" si="39"/>
        <v>16.248949545052493</v>
      </c>
      <c r="O211" s="12"/>
      <c r="P211" s="8">
        <v>609028.68999999994</v>
      </c>
      <c r="Q211" s="3"/>
      <c r="R211" s="7">
        <f t="shared" si="40"/>
        <v>3.8924313099549704E-2</v>
      </c>
      <c r="S211" s="3"/>
      <c r="T211" s="8">
        <v>52255.85</v>
      </c>
      <c r="U211" s="3"/>
      <c r="V211" s="7">
        <f t="shared" si="41"/>
        <v>7.3070940476532686E-3</v>
      </c>
      <c r="W211" s="3"/>
      <c r="X211" s="8">
        <f t="shared" si="42"/>
        <v>556772.84</v>
      </c>
      <c r="Y211" s="3"/>
      <c r="Z211" s="7">
        <f t="shared" si="43"/>
        <v>10.654746597749343</v>
      </c>
    </row>
    <row r="212" spans="1:26" s="68" customFormat="1" ht="15" customHeight="1" outlineLevel="1" collapsed="1" x14ac:dyDescent="0.3">
      <c r="A212" s="25"/>
      <c r="B212" s="14" t="str">
        <f>CONCATENATE("     ","Rent                                              ")</f>
        <v xml:space="preserve">     Rent                                              </v>
      </c>
      <c r="C212" s="14"/>
      <c r="D212" s="2">
        <f>SUM(OSRRefD22_17x_0)</f>
        <v>8750</v>
      </c>
      <c r="E212" s="2"/>
      <c r="F212" s="6">
        <f t="shared" si="36"/>
        <v>3.2579207584088037E-3</v>
      </c>
      <c r="G212" s="2"/>
      <c r="H212" s="2">
        <f>SUM(OSRRefH22_17x_0)</f>
        <v>6900</v>
      </c>
      <c r="I212" s="2"/>
      <c r="J212" s="6">
        <f t="shared" si="37"/>
        <v>1.2634346823403855E-2</v>
      </c>
      <c r="K212" s="2"/>
      <c r="L212" s="2">
        <f t="shared" si="38"/>
        <v>1850</v>
      </c>
      <c r="M212" s="2"/>
      <c r="N212" s="6">
        <f t="shared" si="39"/>
        <v>0.26811594202898553</v>
      </c>
      <c r="O212" s="14"/>
      <c r="P212" s="2">
        <f>SUM(OSRRefP22_17x_0)</f>
        <v>70000</v>
      </c>
      <c r="Q212" s="2"/>
      <c r="R212" s="6">
        <f t="shared" si="40"/>
        <v>4.4738482138969174E-3</v>
      </c>
      <c r="S212" s="2"/>
      <c r="T212" s="2">
        <f>SUM(OSRRefT22_17x_0)</f>
        <v>66300</v>
      </c>
      <c r="U212" s="2"/>
      <c r="V212" s="6">
        <f t="shared" si="41"/>
        <v>9.2709301515411513E-3</v>
      </c>
      <c r="W212" s="2"/>
      <c r="X212" s="2">
        <f t="shared" si="42"/>
        <v>3700</v>
      </c>
      <c r="Y212" s="2"/>
      <c r="Z212" s="6">
        <f t="shared" si="43"/>
        <v>5.5806938159879339E-2</v>
      </c>
    </row>
    <row r="213" spans="1:26" s="69" customFormat="1" ht="15" hidden="1" customHeight="1" outlineLevel="2" x14ac:dyDescent="0.3">
      <c r="A213" s="26"/>
      <c r="B213" s="12" t="str">
        <f>CONCATENATE("          ","6273"," - ","RENT")</f>
        <v xml:space="preserve">          6273 - RENT</v>
      </c>
      <c r="C213" s="12"/>
      <c r="D213" s="8">
        <v>8750</v>
      </c>
      <c r="E213" s="3"/>
      <c r="F213" s="7">
        <f t="shared" si="36"/>
        <v>3.2579207584088037E-3</v>
      </c>
      <c r="G213" s="3"/>
      <c r="H213" s="8">
        <v>6900</v>
      </c>
      <c r="I213" s="3"/>
      <c r="J213" s="7">
        <f t="shared" si="37"/>
        <v>1.2634346823403855E-2</v>
      </c>
      <c r="K213" s="3"/>
      <c r="L213" s="8">
        <f t="shared" si="38"/>
        <v>1850</v>
      </c>
      <c r="M213" s="3"/>
      <c r="N213" s="7">
        <f t="shared" si="39"/>
        <v>0.26811594202898553</v>
      </c>
      <c r="O213" s="12"/>
      <c r="P213" s="8">
        <v>70000</v>
      </c>
      <c r="Q213" s="3"/>
      <c r="R213" s="7">
        <f t="shared" si="40"/>
        <v>4.4738482138969174E-3</v>
      </c>
      <c r="S213" s="3"/>
      <c r="T213" s="8">
        <v>66300</v>
      </c>
      <c r="U213" s="3"/>
      <c r="V213" s="7">
        <f t="shared" si="41"/>
        <v>9.2709301515411513E-3</v>
      </c>
      <c r="W213" s="3"/>
      <c r="X213" s="8">
        <f t="shared" si="42"/>
        <v>3700</v>
      </c>
      <c r="Y213" s="3"/>
      <c r="Z213" s="7">
        <f t="shared" si="43"/>
        <v>5.5806938159879339E-2</v>
      </c>
    </row>
    <row r="214" spans="1:26" s="68" customFormat="1" ht="15" customHeight="1" outlineLevel="1" collapsed="1" x14ac:dyDescent="0.3">
      <c r="A214" s="25"/>
      <c r="B214" s="14" t="str">
        <f>CONCATENATE("     ","Repair and Maintenance                            ")</f>
        <v xml:space="preserve">     Repair and Maintenance                            </v>
      </c>
      <c r="C214" s="14"/>
      <c r="D214" s="2">
        <f>SUM(OSRRefD22_18x_0)</f>
        <v>24796.82</v>
      </c>
      <c r="E214" s="2"/>
      <c r="F214" s="6">
        <f t="shared" si="36"/>
        <v>9.2326942423458964E-3</v>
      </c>
      <c r="G214" s="2"/>
      <c r="H214" s="2">
        <f>SUM(OSRRefH22_18x_0)</f>
        <v>21860.95</v>
      </c>
      <c r="I214" s="2"/>
      <c r="J214" s="6">
        <f t="shared" si="37"/>
        <v>4.0028815099868192E-2</v>
      </c>
      <c r="K214" s="2"/>
      <c r="L214" s="2">
        <f t="shared" si="38"/>
        <v>2935.869999999999</v>
      </c>
      <c r="M214" s="2"/>
      <c r="N214" s="6">
        <f t="shared" si="39"/>
        <v>0.13429745733831325</v>
      </c>
      <c r="O214" s="14"/>
      <c r="P214" s="2">
        <f>SUM(OSRRefP22_18x_0)</f>
        <v>348442.63999999996</v>
      </c>
      <c r="Q214" s="2"/>
      <c r="R214" s="6">
        <f t="shared" si="40"/>
        <v>2.2269706894421804E-2</v>
      </c>
      <c r="S214" s="2"/>
      <c r="T214" s="2">
        <f>SUM(OSRRefT22_18x_0)</f>
        <v>298334.94000000006</v>
      </c>
      <c r="U214" s="2"/>
      <c r="V214" s="6">
        <f t="shared" si="41"/>
        <v>4.1717079796443755E-2</v>
      </c>
      <c r="W214" s="2"/>
      <c r="X214" s="2">
        <f t="shared" si="42"/>
        <v>50107.699999999895</v>
      </c>
      <c r="Y214" s="2"/>
      <c r="Z214" s="6">
        <f t="shared" si="43"/>
        <v>0.16795786641685309</v>
      </c>
    </row>
    <row r="215" spans="1:26" s="69" customFormat="1" ht="15" hidden="1" customHeight="1" outlineLevel="2" x14ac:dyDescent="0.3">
      <c r="A215" s="26"/>
      <c r="B215" s="12" t="str">
        <f>CONCATENATE("          ","6371"," - ","COMPUTER SOFTWARE MAINTENANCE")</f>
        <v xml:space="preserve">          6371 - COMPUTER SOFTWARE MAINTENANCE</v>
      </c>
      <c r="C215" s="12"/>
      <c r="D215" s="8">
        <v>11083.7</v>
      </c>
      <c r="E215" s="3"/>
      <c r="F215" s="7">
        <f t="shared" si="36"/>
        <v>4.1268361497115045E-3</v>
      </c>
      <c r="G215" s="3"/>
      <c r="H215" s="8">
        <v>5533.52</v>
      </c>
      <c r="I215" s="3"/>
      <c r="J215" s="7">
        <f t="shared" si="37"/>
        <v>1.0132233454237928E-2</v>
      </c>
      <c r="K215" s="3"/>
      <c r="L215" s="8">
        <f t="shared" si="38"/>
        <v>5550.18</v>
      </c>
      <c r="M215" s="3"/>
      <c r="N215" s="7">
        <f t="shared" si="39"/>
        <v>1.0030107418063006</v>
      </c>
      <c r="O215" s="12"/>
      <c r="P215" s="8">
        <v>104911.87</v>
      </c>
      <c r="Q215" s="3"/>
      <c r="R215" s="7">
        <f t="shared" si="40"/>
        <v>6.7051397459440797E-3</v>
      </c>
      <c r="S215" s="3"/>
      <c r="T215" s="8">
        <v>70969.990000000005</v>
      </c>
      <c r="U215" s="3"/>
      <c r="V215" s="7">
        <f t="shared" si="41"/>
        <v>9.9239490218035308E-3</v>
      </c>
      <c r="W215" s="3"/>
      <c r="X215" s="8">
        <f t="shared" si="42"/>
        <v>33941.87999999999</v>
      </c>
      <c r="Y215" s="3"/>
      <c r="Z215" s="7">
        <f t="shared" si="43"/>
        <v>0.4782567955835979</v>
      </c>
    </row>
    <row r="216" spans="1:26" s="69" customFormat="1" ht="15" hidden="1" customHeight="1" outlineLevel="2" x14ac:dyDescent="0.3">
      <c r="A216" s="26"/>
      <c r="B216" s="12" t="str">
        <f>CONCATENATE("          ","6372"," - ","COMPUTER HARDWARE MAINTENANCE")</f>
        <v xml:space="preserve">          6372 - COMPUTER HARDWARE MAINTENANCE</v>
      </c>
      <c r="C216" s="12"/>
      <c r="D216" s="8"/>
      <c r="E216" s="3"/>
      <c r="F216" s="7">
        <f t="shared" si="36"/>
        <v>0</v>
      </c>
      <c r="G216" s="3"/>
      <c r="H216" s="8">
        <v>-1.1499999999999999</v>
      </c>
      <c r="I216" s="3"/>
      <c r="J216" s="7">
        <f t="shared" si="37"/>
        <v>-2.1057244705673088E-6</v>
      </c>
      <c r="K216" s="3"/>
      <c r="L216" s="8">
        <f t="shared" si="38"/>
        <v>1.1499999999999999</v>
      </c>
      <c r="M216" s="3"/>
      <c r="N216" s="7">
        <f t="shared" si="39"/>
        <v>-1</v>
      </c>
      <c r="O216" s="12"/>
      <c r="P216" s="8">
        <v>1555.65</v>
      </c>
      <c r="Q216" s="3"/>
      <c r="R216" s="7">
        <f t="shared" si="40"/>
        <v>9.942488534212485E-5</v>
      </c>
      <c r="S216" s="3"/>
      <c r="T216" s="8">
        <v>-1.1499999999999999</v>
      </c>
      <c r="U216" s="3"/>
      <c r="V216" s="7">
        <f t="shared" si="41"/>
        <v>-1.608079890538812E-7</v>
      </c>
      <c r="W216" s="3"/>
      <c r="X216" s="8">
        <f t="shared" si="42"/>
        <v>1556.8000000000002</v>
      </c>
      <c r="Y216" s="3"/>
      <c r="Z216" s="7">
        <f t="shared" si="43"/>
        <v>-1353.739130434783</v>
      </c>
    </row>
    <row r="217" spans="1:26" s="69" customFormat="1" ht="15" hidden="1" customHeight="1" outlineLevel="2" x14ac:dyDescent="0.3">
      <c r="A217" s="26"/>
      <c r="B217" s="12" t="str">
        <f>CONCATENATE("          ","6373"," - ","MAINTENANCE CONTRACTS")</f>
        <v xml:space="preserve">          6373 - MAINTENANCE CONTRACTS</v>
      </c>
      <c r="C217" s="12"/>
      <c r="D217" s="8">
        <v>2817.99</v>
      </c>
      <c r="E217" s="3"/>
      <c r="F217" s="7">
        <f t="shared" si="36"/>
        <v>1.0492329277701057E-3</v>
      </c>
      <c r="G217" s="3"/>
      <c r="H217" s="8">
        <v>3382.04</v>
      </c>
      <c r="I217" s="3"/>
      <c r="J217" s="7">
        <f t="shared" si="37"/>
        <v>6.1927342508151847E-3</v>
      </c>
      <c r="K217" s="3"/>
      <c r="L217" s="8">
        <f t="shared" si="38"/>
        <v>-564.05000000000018</v>
      </c>
      <c r="M217" s="3"/>
      <c r="N217" s="7">
        <f t="shared" si="39"/>
        <v>-0.1667780392898961</v>
      </c>
      <c r="O217" s="12"/>
      <c r="P217" s="8">
        <v>155982.68</v>
      </c>
      <c r="Q217" s="3"/>
      <c r="R217" s="7">
        <f t="shared" si="40"/>
        <v>9.9691833473836335E-3</v>
      </c>
      <c r="S217" s="3"/>
      <c r="T217" s="8">
        <v>178743.07</v>
      </c>
      <c r="U217" s="3"/>
      <c r="V217" s="7">
        <f t="shared" si="41"/>
        <v>2.4994185777406197E-2</v>
      </c>
      <c r="W217" s="3"/>
      <c r="X217" s="8">
        <f t="shared" si="42"/>
        <v>-22760.390000000014</v>
      </c>
      <c r="Y217" s="3"/>
      <c r="Z217" s="7">
        <f t="shared" si="43"/>
        <v>-0.12733578985747537</v>
      </c>
    </row>
    <row r="218" spans="1:26" s="69" customFormat="1" ht="15" hidden="1" customHeight="1" outlineLevel="2" x14ac:dyDescent="0.3">
      <c r="A218" s="26"/>
      <c r="B218" s="12" t="str">
        <f>CONCATENATE("          ","6375"," - ","OUTSIDE REPAIRS &amp; MAINTENANCE")</f>
        <v xml:space="preserve">          6375 - OUTSIDE REPAIRS &amp; MAINTENANCE</v>
      </c>
      <c r="C218" s="12"/>
      <c r="D218" s="8">
        <v>10895.13</v>
      </c>
      <c r="E218" s="3"/>
      <c r="F218" s="7">
        <f t="shared" si="36"/>
        <v>4.0566251648642866E-3</v>
      </c>
      <c r="G218" s="3"/>
      <c r="H218" s="8">
        <v>12946.54</v>
      </c>
      <c r="I218" s="3"/>
      <c r="J218" s="7">
        <f t="shared" si="37"/>
        <v>2.3705953119285646E-2</v>
      </c>
      <c r="K218" s="3"/>
      <c r="L218" s="8">
        <f t="shared" si="38"/>
        <v>-2051.4100000000017</v>
      </c>
      <c r="M218" s="3"/>
      <c r="N218" s="7">
        <f t="shared" si="39"/>
        <v>-0.15845237414784194</v>
      </c>
      <c r="O218" s="12"/>
      <c r="P218" s="8">
        <v>85992.44</v>
      </c>
      <c r="Q218" s="3"/>
      <c r="R218" s="7">
        <f t="shared" si="40"/>
        <v>5.4959589157519695E-3</v>
      </c>
      <c r="S218" s="3"/>
      <c r="T218" s="8">
        <v>48623.03</v>
      </c>
      <c r="U218" s="3"/>
      <c r="V218" s="7">
        <f t="shared" si="41"/>
        <v>6.7991058052230763E-3</v>
      </c>
      <c r="W218" s="3"/>
      <c r="X218" s="8">
        <f t="shared" si="42"/>
        <v>37369.410000000003</v>
      </c>
      <c r="Y218" s="3"/>
      <c r="Z218" s="7">
        <f t="shared" si="43"/>
        <v>0.76855370798570155</v>
      </c>
    </row>
    <row r="219" spans="1:26" s="68" customFormat="1" ht="15" customHeight="1" outlineLevel="1" collapsed="1" x14ac:dyDescent="0.3">
      <c r="A219" s="25"/>
      <c r="B219" s="14" t="str">
        <f>CONCATENATE("     ","Royalty &amp; Commissions                             ")</f>
        <v xml:space="preserve">     Royalty &amp; Commissions                             </v>
      </c>
      <c r="C219" s="14"/>
      <c r="D219" s="2">
        <f>SUM(OSRRefD22_19x_0)</f>
        <v>6571.48</v>
      </c>
      <c r="E219" s="2"/>
      <c r="F219" s="6">
        <f t="shared" si="36"/>
        <v>2.4467841263392325E-3</v>
      </c>
      <c r="G219" s="2"/>
      <c r="H219" s="2">
        <f>SUM(OSRRefH22_19x_0)</f>
        <v>468.34</v>
      </c>
      <c r="I219" s="2"/>
      <c r="J219" s="6">
        <f t="shared" si="37"/>
        <v>8.5756086830042911E-4</v>
      </c>
      <c r="K219" s="2"/>
      <c r="L219" s="2">
        <f t="shared" si="38"/>
        <v>6103.1399999999994</v>
      </c>
      <c r="M219" s="2"/>
      <c r="N219" s="6">
        <f t="shared" si="39"/>
        <v>13.031430157577828</v>
      </c>
      <c r="O219" s="14"/>
      <c r="P219" s="2">
        <f>SUM(OSRRefP22_19x_0)</f>
        <v>53867.820000000007</v>
      </c>
      <c r="Q219" s="2"/>
      <c r="R219" s="6">
        <f t="shared" si="40"/>
        <v>3.4428064327645812E-3</v>
      </c>
      <c r="S219" s="2"/>
      <c r="T219" s="2">
        <f>SUM(OSRRefT22_19x_0)</f>
        <v>37019.69</v>
      </c>
      <c r="U219" s="2"/>
      <c r="V219" s="6">
        <f t="shared" si="41"/>
        <v>5.1765755689548495E-3</v>
      </c>
      <c r="W219" s="2"/>
      <c r="X219" s="2">
        <f t="shared" si="42"/>
        <v>16848.130000000005</v>
      </c>
      <c r="Y219" s="2"/>
      <c r="Z219" s="6">
        <f t="shared" si="43"/>
        <v>0.45511267112177339</v>
      </c>
    </row>
    <row r="220" spans="1:26" s="69" customFormat="1" ht="15" hidden="1" customHeight="1" outlineLevel="2" x14ac:dyDescent="0.3">
      <c r="A220" s="26"/>
      <c r="B220" s="12" t="str">
        <f>CONCATENATE("          ","6253"," - ","ROYALTY DUE ATHLETICS-LRG")</f>
        <v xml:space="preserve">          6253 - ROYALTY DUE ATHLETICS-LRG</v>
      </c>
      <c r="C220" s="12"/>
      <c r="D220" s="8"/>
      <c r="E220" s="3"/>
      <c r="F220" s="7">
        <f t="shared" si="36"/>
        <v>0</v>
      </c>
      <c r="G220" s="3"/>
      <c r="H220" s="8"/>
      <c r="I220" s="3"/>
      <c r="J220" s="7">
        <f t="shared" si="37"/>
        <v>0</v>
      </c>
      <c r="K220" s="3"/>
      <c r="L220" s="8">
        <f t="shared" si="38"/>
        <v>0</v>
      </c>
      <c r="M220" s="3"/>
      <c r="N220" s="7">
        <f t="shared" si="39"/>
        <v>0</v>
      </c>
      <c r="O220" s="12"/>
      <c r="P220" s="8">
        <v>39221.160000000003</v>
      </c>
      <c r="Q220" s="3"/>
      <c r="R220" s="7">
        <f t="shared" si="40"/>
        <v>2.5067073801852175E-3</v>
      </c>
      <c r="S220" s="3"/>
      <c r="T220" s="8">
        <v>26197.58</v>
      </c>
      <c r="U220" s="3"/>
      <c r="V220" s="7">
        <f t="shared" si="41"/>
        <v>3.6632870938071113E-3</v>
      </c>
      <c r="W220" s="3"/>
      <c r="X220" s="8">
        <f t="shared" si="42"/>
        <v>13023.580000000002</v>
      </c>
      <c r="Y220" s="3"/>
      <c r="Z220" s="7">
        <f t="shared" si="43"/>
        <v>0.49712912414047405</v>
      </c>
    </row>
    <row r="221" spans="1:26" s="69" customFormat="1" ht="15" hidden="1" customHeight="1" outlineLevel="2" x14ac:dyDescent="0.3">
      <c r="A221" s="26"/>
      <c r="B221" s="12" t="str">
        <f>CONCATENATE("          ","6254"," - ","ROYALTY &amp; COMMISSIONS")</f>
        <v xml:space="preserve">          6254 - ROYALTY &amp; COMMISSIONS</v>
      </c>
      <c r="C221" s="12"/>
      <c r="D221" s="8">
        <v>4936.58</v>
      </c>
      <c r="E221" s="3"/>
      <c r="F221" s="7">
        <f t="shared" ref="F221:F252" si="44">IF(D$12=0,0,D221/D$12)</f>
        <v>1.8380555951480837E-3</v>
      </c>
      <c r="G221" s="3"/>
      <c r="H221" s="8"/>
      <c r="I221" s="3"/>
      <c r="J221" s="7">
        <f t="shared" ref="J221:J252" si="45">IF(H$12=0,0,H221/H$12)</f>
        <v>0</v>
      </c>
      <c r="K221" s="3"/>
      <c r="L221" s="8">
        <f t="shared" ref="L221:L252" si="46">+D221-H221</f>
        <v>4936.58</v>
      </c>
      <c r="M221" s="3"/>
      <c r="N221" s="7">
        <f t="shared" ref="N221:N252" si="47">IF(H221=0,0,L221/H221)</f>
        <v>0</v>
      </c>
      <c r="O221" s="12"/>
      <c r="P221" s="8">
        <v>7143.18</v>
      </c>
      <c r="Q221" s="3"/>
      <c r="R221" s="7">
        <f t="shared" ref="R221:R252" si="48">IF(P$12=0,0,P221/P$12)</f>
        <v>4.565357583506312E-4</v>
      </c>
      <c r="S221" s="3"/>
      <c r="T221" s="8">
        <v>185.7</v>
      </c>
      <c r="U221" s="3"/>
      <c r="V221" s="7">
        <f t="shared" ref="V221:V252" si="49">IF(T$12=0,0,T221/T$12)</f>
        <v>2.5966994406352819E-5</v>
      </c>
      <c r="W221" s="3"/>
      <c r="X221" s="8">
        <f t="shared" ref="X221:X252" si="50">+P221-T221</f>
        <v>6957.4800000000005</v>
      </c>
      <c r="Y221" s="3"/>
      <c r="Z221" s="7">
        <f t="shared" ref="Z221:Z252" si="51">IF(T221=0,0,X221/T221)</f>
        <v>37.466235864297261</v>
      </c>
    </row>
    <row r="222" spans="1:26" s="69" customFormat="1" ht="15" hidden="1" customHeight="1" outlineLevel="2" x14ac:dyDescent="0.3">
      <c r="A222" s="26"/>
      <c r="B222" s="12" t="str">
        <f>CONCATENATE("          ","6259"," - ","ROYALTY &amp; COMMISSIONS")</f>
        <v xml:space="preserve">          6259 - ROYALTY &amp; COMMISSIONS</v>
      </c>
      <c r="C222" s="12"/>
      <c r="D222" s="8">
        <v>1634.9</v>
      </c>
      <c r="E222" s="3"/>
      <c r="F222" s="7">
        <f t="shared" si="44"/>
        <v>6.0872853119114901E-4</v>
      </c>
      <c r="G222" s="3"/>
      <c r="H222" s="8">
        <v>468.34</v>
      </c>
      <c r="I222" s="3"/>
      <c r="J222" s="7">
        <f t="shared" si="45"/>
        <v>8.5756086830042911E-4</v>
      </c>
      <c r="K222" s="3"/>
      <c r="L222" s="8">
        <f t="shared" si="46"/>
        <v>1166.5600000000002</v>
      </c>
      <c r="M222" s="3"/>
      <c r="N222" s="7">
        <f t="shared" si="47"/>
        <v>2.4908399880428753</v>
      </c>
      <c r="O222" s="12"/>
      <c r="P222" s="8">
        <v>7503.48</v>
      </c>
      <c r="Q222" s="3"/>
      <c r="R222" s="7">
        <f t="shared" si="48"/>
        <v>4.79563294228732E-4</v>
      </c>
      <c r="S222" s="3"/>
      <c r="T222" s="8">
        <v>10636.41</v>
      </c>
      <c r="U222" s="3"/>
      <c r="V222" s="7">
        <f t="shared" si="49"/>
        <v>1.4873214807413851E-3</v>
      </c>
      <c r="W222" s="3"/>
      <c r="X222" s="8">
        <f t="shared" si="50"/>
        <v>-3132.9300000000003</v>
      </c>
      <c r="Y222" s="3"/>
      <c r="Z222" s="7">
        <f t="shared" si="51"/>
        <v>-0.29454769043314427</v>
      </c>
    </row>
    <row r="223" spans="1:26" s="68" customFormat="1" ht="15" customHeight="1" outlineLevel="1" collapsed="1" x14ac:dyDescent="0.3">
      <c r="A223" s="25"/>
      <c r="B223" s="14" t="str">
        <f>CONCATENATE("     ","Services                                          ")</f>
        <v xml:space="preserve">     Services                                          </v>
      </c>
      <c r="C223" s="14"/>
      <c r="D223" s="2">
        <f>SUM(OSRRefD22_20x_0)</f>
        <v>35891.299999999996</v>
      </c>
      <c r="E223" s="2"/>
      <c r="F223" s="6">
        <f t="shared" si="44"/>
        <v>1.3363544150431759E-2</v>
      </c>
      <c r="G223" s="2"/>
      <c r="H223" s="2">
        <f>SUM(OSRRefH22_20x_0)</f>
        <v>20762.95</v>
      </c>
      <c r="I223" s="2"/>
      <c r="J223" s="6">
        <f t="shared" si="45"/>
        <v>3.8018305996665662E-2</v>
      </c>
      <c r="K223" s="2"/>
      <c r="L223" s="2">
        <f t="shared" si="46"/>
        <v>15128.349999999995</v>
      </c>
      <c r="M223" s="2"/>
      <c r="N223" s="6">
        <f t="shared" si="47"/>
        <v>0.7286223778412988</v>
      </c>
      <c r="O223" s="14"/>
      <c r="P223" s="2">
        <f>SUM(OSRRefP22_20x_0)</f>
        <v>247366.36000000002</v>
      </c>
      <c r="Q223" s="2"/>
      <c r="R223" s="6">
        <f t="shared" si="48"/>
        <v>1.5809707826631169E-2</v>
      </c>
      <c r="S223" s="2"/>
      <c r="T223" s="2">
        <f>SUM(OSRRefT22_20x_0)</f>
        <v>169712.11</v>
      </c>
      <c r="U223" s="2"/>
      <c r="V223" s="6">
        <f t="shared" si="49"/>
        <v>2.3731359241035723E-2</v>
      </c>
      <c r="W223" s="2"/>
      <c r="X223" s="2">
        <f t="shared" si="50"/>
        <v>77654.250000000029</v>
      </c>
      <c r="Y223" s="2"/>
      <c r="Z223" s="6">
        <f t="shared" si="51"/>
        <v>0.45756457803747791</v>
      </c>
    </row>
    <row r="224" spans="1:26" s="69" customFormat="1" ht="15" hidden="1" customHeight="1" outlineLevel="2" x14ac:dyDescent="0.3">
      <c r="A224" s="26"/>
      <c r="B224" s="12" t="str">
        <f>CONCATENATE("          ","6282"," - ","JANITORIAL/EXTERMINATOR EXPENS")</f>
        <v xml:space="preserve">          6282 - JANITORIAL/EXTERMINATOR EXPENS</v>
      </c>
      <c r="C224" s="12"/>
      <c r="D224" s="8">
        <v>4256.1000000000004</v>
      </c>
      <c r="E224" s="3"/>
      <c r="F224" s="7">
        <f t="shared" si="44"/>
        <v>1.5846898902701384E-3</v>
      </c>
      <c r="G224" s="3"/>
      <c r="H224" s="8">
        <v>1189.53</v>
      </c>
      <c r="I224" s="3"/>
      <c r="J224" s="7">
        <f t="shared" si="45"/>
        <v>2.1781064604121142E-3</v>
      </c>
      <c r="K224" s="3"/>
      <c r="L224" s="8">
        <f t="shared" si="46"/>
        <v>3066.5700000000006</v>
      </c>
      <c r="M224" s="3"/>
      <c r="N224" s="7">
        <f t="shared" si="47"/>
        <v>2.5779677687826292</v>
      </c>
      <c r="O224" s="12"/>
      <c r="P224" s="8">
        <v>26541.01</v>
      </c>
      <c r="Q224" s="3"/>
      <c r="R224" s="7">
        <f t="shared" si="48"/>
        <v>1.6962921454788601E-3</v>
      </c>
      <c r="S224" s="3"/>
      <c r="T224" s="8">
        <v>25187.89</v>
      </c>
      <c r="U224" s="3"/>
      <c r="V224" s="7">
        <f t="shared" si="49"/>
        <v>3.5220990777481429E-3</v>
      </c>
      <c r="W224" s="3"/>
      <c r="X224" s="8">
        <f t="shared" si="50"/>
        <v>1353.119999999999</v>
      </c>
      <c r="Y224" s="3"/>
      <c r="Z224" s="7">
        <f t="shared" si="51"/>
        <v>5.3721054046210262E-2</v>
      </c>
    </row>
    <row r="225" spans="1:26" s="69" customFormat="1" ht="15" hidden="1" customHeight="1" outlineLevel="2" x14ac:dyDescent="0.3">
      <c r="A225" s="26"/>
      <c r="B225" s="12" t="str">
        <f>CONCATENATE("          ","6283"," - ","PLANT SERVICE")</f>
        <v xml:space="preserve">          6283 - PLANT SERVICE</v>
      </c>
      <c r="C225" s="12"/>
      <c r="D225" s="8"/>
      <c r="E225" s="3"/>
      <c r="F225" s="7">
        <f t="shared" si="44"/>
        <v>0</v>
      </c>
      <c r="G225" s="3"/>
      <c r="H225" s="8"/>
      <c r="I225" s="3"/>
      <c r="J225" s="7">
        <f t="shared" si="45"/>
        <v>0</v>
      </c>
      <c r="K225" s="3"/>
      <c r="L225" s="8">
        <f t="shared" si="46"/>
        <v>0</v>
      </c>
      <c r="M225" s="3"/>
      <c r="N225" s="7">
        <f t="shared" si="47"/>
        <v>0</v>
      </c>
      <c r="O225" s="12"/>
      <c r="P225" s="8"/>
      <c r="Q225" s="3"/>
      <c r="R225" s="7">
        <f t="shared" si="48"/>
        <v>0</v>
      </c>
      <c r="S225" s="3"/>
      <c r="T225" s="8">
        <v>171.31</v>
      </c>
      <c r="U225" s="3"/>
      <c r="V225" s="7">
        <f t="shared" si="49"/>
        <v>2.3954797047669908E-5</v>
      </c>
      <c r="W225" s="3"/>
      <c r="X225" s="8">
        <f t="shared" si="50"/>
        <v>-171.31</v>
      </c>
      <c r="Y225" s="3"/>
      <c r="Z225" s="7">
        <f t="shared" si="51"/>
        <v>-1</v>
      </c>
    </row>
    <row r="226" spans="1:26" s="69" customFormat="1" ht="15" hidden="1" customHeight="1" outlineLevel="2" x14ac:dyDescent="0.3">
      <c r="A226" s="26"/>
      <c r="B226" s="12" t="str">
        <f>CONCATENATE("          ","6284"," - ","TRASH REMOVAL EXPENSE")</f>
        <v xml:space="preserve">          6284 - TRASH REMOVAL EXPENSE</v>
      </c>
      <c r="C226" s="12"/>
      <c r="D226" s="8">
        <v>149.69999999999999</v>
      </c>
      <c r="E226" s="3"/>
      <c r="F226" s="7">
        <f t="shared" si="44"/>
        <v>5.5738370003862619E-5</v>
      </c>
      <c r="G226" s="3"/>
      <c r="H226" s="8">
        <v>5800.57</v>
      </c>
      <c r="I226" s="3"/>
      <c r="J226" s="7">
        <f t="shared" si="45"/>
        <v>1.0621219297598796E-2</v>
      </c>
      <c r="K226" s="3"/>
      <c r="L226" s="8">
        <f t="shared" si="46"/>
        <v>-5650.87</v>
      </c>
      <c r="M226" s="3"/>
      <c r="N226" s="7">
        <f t="shared" si="47"/>
        <v>-0.9741921914570465</v>
      </c>
      <c r="O226" s="12"/>
      <c r="P226" s="8">
        <v>1190.47</v>
      </c>
      <c r="Q226" s="3"/>
      <c r="R226" s="7">
        <f t="shared" si="48"/>
        <v>7.608545833139805E-5</v>
      </c>
      <c r="S226" s="3"/>
      <c r="T226" s="8">
        <v>32200.33</v>
      </c>
      <c r="U226" s="3"/>
      <c r="V226" s="7">
        <f t="shared" si="49"/>
        <v>4.5026698384098814E-3</v>
      </c>
      <c r="W226" s="3"/>
      <c r="X226" s="8">
        <f t="shared" si="50"/>
        <v>-31009.86</v>
      </c>
      <c r="Y226" s="3"/>
      <c r="Z226" s="7">
        <f t="shared" si="51"/>
        <v>-0.96302926088024565</v>
      </c>
    </row>
    <row r="227" spans="1:26" s="69" customFormat="1" ht="15" hidden="1" customHeight="1" outlineLevel="2" x14ac:dyDescent="0.3">
      <c r="A227" s="26"/>
      <c r="B227" s="12" t="str">
        <f>CONCATENATE("          ","6285"," - ","JANITORIAL SERVICES")</f>
        <v xml:space="preserve">          6285 - JANITORIAL SERVICES</v>
      </c>
      <c r="C227" s="12"/>
      <c r="D227" s="8">
        <v>28235.23</v>
      </c>
      <c r="E227" s="3"/>
      <c r="F227" s="7">
        <f t="shared" si="44"/>
        <v>1.0512930506908229E-2</v>
      </c>
      <c r="G227" s="3"/>
      <c r="H227" s="8">
        <v>12687.19</v>
      </c>
      <c r="I227" s="3"/>
      <c r="J227" s="7">
        <f t="shared" si="45"/>
        <v>2.323106647455379E-2</v>
      </c>
      <c r="K227" s="3"/>
      <c r="L227" s="8">
        <f t="shared" si="46"/>
        <v>15548.039999999999</v>
      </c>
      <c r="M227" s="3"/>
      <c r="N227" s="7">
        <f t="shared" si="47"/>
        <v>1.225491223824976</v>
      </c>
      <c r="O227" s="12"/>
      <c r="P227" s="8">
        <v>195811.91</v>
      </c>
      <c r="Q227" s="3"/>
      <c r="R227" s="7">
        <f t="shared" si="48"/>
        <v>1.2514753768760628E-2</v>
      </c>
      <c r="S227" s="3"/>
      <c r="T227" s="8">
        <v>99444.45</v>
      </c>
      <c r="U227" s="3"/>
      <c r="V227" s="7">
        <f t="shared" si="49"/>
        <v>1.390561915397325E-2</v>
      </c>
      <c r="W227" s="3"/>
      <c r="X227" s="8">
        <f t="shared" si="50"/>
        <v>96367.46</v>
      </c>
      <c r="Y227" s="3"/>
      <c r="Z227" s="7">
        <f t="shared" si="51"/>
        <v>0.9690582028459106</v>
      </c>
    </row>
    <row r="228" spans="1:26" s="69" customFormat="1" ht="15" hidden="1" customHeight="1" outlineLevel="2" x14ac:dyDescent="0.3">
      <c r="A228" s="26"/>
      <c r="B228" s="12" t="str">
        <f>CONCATENATE("          ","6286"," - ","LAUNDRY EXPENSE")</f>
        <v xml:space="preserve">          6286 - LAUNDRY EXPENSE</v>
      </c>
      <c r="C228" s="12"/>
      <c r="D228" s="8">
        <v>3250.27</v>
      </c>
      <c r="E228" s="3"/>
      <c r="F228" s="7">
        <f t="shared" si="44"/>
        <v>1.2101853832495295E-3</v>
      </c>
      <c r="G228" s="3"/>
      <c r="H228" s="8">
        <v>1085.6600000000001</v>
      </c>
      <c r="I228" s="3"/>
      <c r="J228" s="7">
        <f t="shared" si="45"/>
        <v>1.9879137641009609E-3</v>
      </c>
      <c r="K228" s="3"/>
      <c r="L228" s="8">
        <f t="shared" si="46"/>
        <v>2164.6099999999997</v>
      </c>
      <c r="M228" s="3"/>
      <c r="N228" s="7">
        <f t="shared" si="47"/>
        <v>1.9938194278134955</v>
      </c>
      <c r="O228" s="12"/>
      <c r="P228" s="8">
        <v>23822.97</v>
      </c>
      <c r="Q228" s="3"/>
      <c r="R228" s="7">
        <f t="shared" si="48"/>
        <v>1.5225764540602836E-3</v>
      </c>
      <c r="S228" s="3"/>
      <c r="T228" s="8">
        <v>12708.13</v>
      </c>
      <c r="U228" s="3"/>
      <c r="V228" s="7">
        <f t="shared" si="49"/>
        <v>1.7770163738567821E-3</v>
      </c>
      <c r="W228" s="3"/>
      <c r="X228" s="8">
        <f t="shared" si="50"/>
        <v>11114.840000000002</v>
      </c>
      <c r="Y228" s="3"/>
      <c r="Z228" s="7">
        <f t="shared" si="51"/>
        <v>0.87462435464541222</v>
      </c>
    </row>
    <row r="229" spans="1:26" s="68" customFormat="1" ht="15" customHeight="1" outlineLevel="1" collapsed="1" x14ac:dyDescent="0.3">
      <c r="A229" s="25"/>
      <c r="B229" s="14" t="str">
        <f>CONCATENATE("     ","Subscriptions &amp; Dues                              ")</f>
        <v xml:space="preserve">     Subscriptions &amp; Dues                              </v>
      </c>
      <c r="C229" s="14"/>
      <c r="D229" s="2">
        <f>SUM(OSRRefD22_21x_0)</f>
        <v>799.24</v>
      </c>
      <c r="E229" s="2"/>
      <c r="F229" s="6">
        <f t="shared" si="44"/>
        <v>2.9758406708007456E-4</v>
      </c>
      <c r="G229" s="2"/>
      <c r="H229" s="2">
        <f>SUM(OSRRefH22_21x_0)</f>
        <v>444.25</v>
      </c>
      <c r="I229" s="2"/>
      <c r="J229" s="6">
        <f t="shared" si="45"/>
        <v>8.1345051830393662E-4</v>
      </c>
      <c r="K229" s="2"/>
      <c r="L229" s="2">
        <f t="shared" si="46"/>
        <v>354.99</v>
      </c>
      <c r="M229" s="2"/>
      <c r="N229" s="6">
        <f t="shared" si="47"/>
        <v>0.79907709622960044</v>
      </c>
      <c r="O229" s="14"/>
      <c r="P229" s="2">
        <f>SUM(OSRRefP22_21x_0)</f>
        <v>7026.08</v>
      </c>
      <c r="Q229" s="2"/>
      <c r="R229" s="6">
        <f t="shared" si="48"/>
        <v>4.4905164940995502E-4</v>
      </c>
      <c r="S229" s="2"/>
      <c r="T229" s="2">
        <f>SUM(OSRRefT22_21x_0)</f>
        <v>5618.55</v>
      </c>
      <c r="U229" s="2"/>
      <c r="V229" s="6">
        <f t="shared" si="49"/>
        <v>7.8565889295537767E-4</v>
      </c>
      <c r="W229" s="2"/>
      <c r="X229" s="2">
        <f t="shared" si="50"/>
        <v>1407.5299999999997</v>
      </c>
      <c r="Y229" s="2"/>
      <c r="Z229" s="6">
        <f t="shared" si="51"/>
        <v>0.25051481254060204</v>
      </c>
    </row>
    <row r="230" spans="1:26" s="69" customFormat="1" ht="15" hidden="1" customHeight="1" outlineLevel="2" x14ac:dyDescent="0.3">
      <c r="A230" s="26"/>
      <c r="B230" s="12" t="str">
        <f>CONCATENATE("          ","6258"," - ","MEMBERSHIP DUES")</f>
        <v xml:space="preserve">          6258 - MEMBERSHIP DUES</v>
      </c>
      <c r="C230" s="12"/>
      <c r="D230" s="8">
        <v>176.99</v>
      </c>
      <c r="E230" s="3"/>
      <c r="F230" s="7">
        <f t="shared" si="44"/>
        <v>6.5899359432088477E-5</v>
      </c>
      <c r="G230" s="3"/>
      <c r="H230" s="8">
        <v>181.41</v>
      </c>
      <c r="I230" s="3"/>
      <c r="J230" s="7">
        <f t="shared" si="45"/>
        <v>3.3217345757010047E-4</v>
      </c>
      <c r="K230" s="3"/>
      <c r="L230" s="8">
        <f t="shared" si="46"/>
        <v>-4.4199999999999875</v>
      </c>
      <c r="M230" s="3"/>
      <c r="N230" s="7">
        <f t="shared" si="47"/>
        <v>-2.4364698748690742E-2</v>
      </c>
      <c r="O230" s="12"/>
      <c r="P230" s="8">
        <v>1870.72</v>
      </c>
      <c r="Q230" s="3"/>
      <c r="R230" s="7">
        <f t="shared" si="48"/>
        <v>1.1956167615287488E-4</v>
      </c>
      <c r="S230" s="3"/>
      <c r="T230" s="8">
        <v>2668.73</v>
      </c>
      <c r="U230" s="3"/>
      <c r="V230" s="7">
        <f t="shared" si="49"/>
        <v>3.7317661271979517E-4</v>
      </c>
      <c r="W230" s="3"/>
      <c r="X230" s="8">
        <f t="shared" si="50"/>
        <v>-798.01</v>
      </c>
      <c r="Y230" s="3"/>
      <c r="Z230" s="7">
        <f t="shared" si="51"/>
        <v>-0.2990223814323667</v>
      </c>
    </row>
    <row r="231" spans="1:26" s="69" customFormat="1" ht="15" hidden="1" customHeight="1" outlineLevel="2" x14ac:dyDescent="0.3">
      <c r="A231" s="26"/>
      <c r="B231" s="12" t="str">
        <f>CONCATENATE("          ","6275"," - ","SUBSCRIPTIONS")</f>
        <v xml:space="preserve">          6275 - SUBSCRIPTIONS</v>
      </c>
      <c r="C231" s="12"/>
      <c r="D231" s="8">
        <v>622.25</v>
      </c>
      <c r="E231" s="3"/>
      <c r="F231" s="7">
        <f t="shared" si="44"/>
        <v>2.3168470764798609E-4</v>
      </c>
      <c r="G231" s="3"/>
      <c r="H231" s="8">
        <v>262.83999999999997</v>
      </c>
      <c r="I231" s="3"/>
      <c r="J231" s="7">
        <f t="shared" si="45"/>
        <v>4.812770607338361E-4</v>
      </c>
      <c r="K231" s="3"/>
      <c r="L231" s="8">
        <f t="shared" si="46"/>
        <v>359.41</v>
      </c>
      <c r="M231" s="3"/>
      <c r="N231" s="7">
        <f t="shared" si="47"/>
        <v>1.3674098310759399</v>
      </c>
      <c r="O231" s="12"/>
      <c r="P231" s="8">
        <v>5155.3599999999997</v>
      </c>
      <c r="Q231" s="3"/>
      <c r="R231" s="7">
        <f t="shared" si="48"/>
        <v>3.2948997325708016E-4</v>
      </c>
      <c r="S231" s="3"/>
      <c r="T231" s="8">
        <v>2949.82</v>
      </c>
      <c r="U231" s="3"/>
      <c r="V231" s="7">
        <f t="shared" si="49"/>
        <v>4.1248228023558255E-4</v>
      </c>
      <c r="W231" s="3"/>
      <c r="X231" s="8">
        <f t="shared" si="50"/>
        <v>2205.5399999999995</v>
      </c>
      <c r="Y231" s="3"/>
      <c r="Z231" s="7">
        <f t="shared" si="51"/>
        <v>0.74768629950302035</v>
      </c>
    </row>
    <row r="232" spans="1:26" s="68" customFormat="1" ht="15" customHeight="1" outlineLevel="1" collapsed="1" x14ac:dyDescent="0.3">
      <c r="A232" s="25"/>
      <c r="B232" s="14" t="str">
        <f>CONCATENATE("     ","Supplies                                          ")</f>
        <v xml:space="preserve">     Supplies                                          </v>
      </c>
      <c r="C232" s="14"/>
      <c r="D232" s="2">
        <f>SUM(OSRRefD22_22x_0)</f>
        <v>54570.229999999996</v>
      </c>
      <c r="E232" s="2"/>
      <c r="F232" s="6">
        <f t="shared" si="44"/>
        <v>2.0318341155216326E-2</v>
      </c>
      <c r="G232" s="2"/>
      <c r="H232" s="2">
        <f>SUM(OSRRefH22_22x_0)</f>
        <v>20079.38</v>
      </c>
      <c r="I232" s="2"/>
      <c r="J232" s="6">
        <f t="shared" si="45"/>
        <v>3.6766645060712887E-2</v>
      </c>
      <c r="K232" s="2"/>
      <c r="L232" s="2">
        <f t="shared" si="46"/>
        <v>34490.849999999991</v>
      </c>
      <c r="M232" s="2"/>
      <c r="N232" s="6">
        <f t="shared" si="47"/>
        <v>1.7177248500700713</v>
      </c>
      <c r="O232" s="14"/>
      <c r="P232" s="2">
        <f>SUM(OSRRefP22_22x_0)</f>
        <v>374943.89</v>
      </c>
      <c r="Q232" s="2"/>
      <c r="R232" s="6">
        <f t="shared" si="48"/>
        <v>2.3963457894115175E-2</v>
      </c>
      <c r="S232" s="2"/>
      <c r="T232" s="2">
        <f>SUM(OSRRefT22_22x_0)</f>
        <v>235361.98</v>
      </c>
      <c r="U232" s="2"/>
      <c r="V232" s="6">
        <f t="shared" si="49"/>
        <v>3.2911379742208535E-2</v>
      </c>
      <c r="W232" s="2"/>
      <c r="X232" s="2">
        <f t="shared" si="50"/>
        <v>139581.91</v>
      </c>
      <c r="Y232" s="2"/>
      <c r="Z232" s="6">
        <f t="shared" si="51"/>
        <v>0.59305207238654267</v>
      </c>
    </row>
    <row r="233" spans="1:26" s="69" customFormat="1" ht="15" hidden="1" customHeight="1" outlineLevel="2" x14ac:dyDescent="0.3">
      <c r="A233" s="26"/>
      <c r="B233" s="12" t="str">
        <f>CONCATENATE("          ","6234"," - ","EXPENDABLE SUPPLIES &amp; EQUIPMEN")</f>
        <v xml:space="preserve">          6234 - EXPENDABLE SUPPLIES &amp; EQUIPMEN</v>
      </c>
      <c r="C233" s="12"/>
      <c r="D233" s="8"/>
      <c r="E233" s="3"/>
      <c r="F233" s="7">
        <f t="shared" si="44"/>
        <v>0</v>
      </c>
      <c r="G233" s="3"/>
      <c r="H233" s="8"/>
      <c r="I233" s="3"/>
      <c r="J233" s="7">
        <f t="shared" si="45"/>
        <v>0</v>
      </c>
      <c r="K233" s="3"/>
      <c r="L233" s="8">
        <f t="shared" si="46"/>
        <v>0</v>
      </c>
      <c r="M233" s="3"/>
      <c r="N233" s="7">
        <f t="shared" si="47"/>
        <v>0</v>
      </c>
      <c r="O233" s="12"/>
      <c r="P233" s="8">
        <v>6879.21</v>
      </c>
      <c r="Q233" s="3"/>
      <c r="R233" s="7">
        <f t="shared" si="48"/>
        <v>4.3966487673602588E-4</v>
      </c>
      <c r="S233" s="3"/>
      <c r="T233" s="8">
        <v>574.74</v>
      </c>
      <c r="U233" s="3"/>
      <c r="V233" s="7">
        <f t="shared" si="49"/>
        <v>8.036763793811104E-5</v>
      </c>
      <c r="W233" s="3"/>
      <c r="X233" s="8">
        <f t="shared" si="50"/>
        <v>6304.47</v>
      </c>
      <c r="Y233" s="3"/>
      <c r="Z233" s="7">
        <f t="shared" si="51"/>
        <v>10.96925566343042</v>
      </c>
    </row>
    <row r="234" spans="1:26" s="69" customFormat="1" ht="15" hidden="1" customHeight="1" outlineLevel="2" x14ac:dyDescent="0.3">
      <c r="A234" s="26"/>
      <c r="B234" s="12" t="str">
        <f>CONCATENATE("          ","6235"," - ","COVID-19 EXPENSES")</f>
        <v xml:space="preserve">          6235 - COVID-19 EXPENSES</v>
      </c>
      <c r="C234" s="12"/>
      <c r="D234" s="8">
        <v>158.76</v>
      </c>
      <c r="E234" s="3"/>
      <c r="F234" s="7">
        <f t="shared" si="44"/>
        <v>5.9111714240569334E-5</v>
      </c>
      <c r="G234" s="3"/>
      <c r="H234" s="8">
        <v>5913.34</v>
      </c>
      <c r="I234" s="3"/>
      <c r="J234" s="7">
        <f t="shared" si="45"/>
        <v>1.0827708470247385E-2</v>
      </c>
      <c r="K234" s="3"/>
      <c r="L234" s="8">
        <f t="shared" si="46"/>
        <v>-5754.58</v>
      </c>
      <c r="M234" s="3"/>
      <c r="N234" s="7">
        <f t="shared" si="47"/>
        <v>-0.9731522286897083</v>
      </c>
      <c r="O234" s="12"/>
      <c r="P234" s="8">
        <v>4101</v>
      </c>
      <c r="Q234" s="3"/>
      <c r="R234" s="7">
        <f t="shared" si="48"/>
        <v>2.6210359321701796E-4</v>
      </c>
      <c r="S234" s="3"/>
      <c r="T234" s="8">
        <v>98617.97</v>
      </c>
      <c r="U234" s="3"/>
      <c r="V234" s="7">
        <f t="shared" si="49"/>
        <v>1.3790049948066076E-2</v>
      </c>
      <c r="W234" s="3"/>
      <c r="X234" s="8">
        <f t="shared" si="50"/>
        <v>-94516.97</v>
      </c>
      <c r="Y234" s="3"/>
      <c r="Z234" s="7">
        <f t="shared" si="51"/>
        <v>-0.95841528678799615</v>
      </c>
    </row>
    <row r="235" spans="1:26" s="69" customFormat="1" ht="15" hidden="1" customHeight="1" outlineLevel="2" x14ac:dyDescent="0.3">
      <c r="A235" s="26"/>
      <c r="B235" s="12" t="str">
        <f>CONCATENATE("          ","6237"," - ","JANITORIAL SUPPLIES")</f>
        <v xml:space="preserve">          6237 - JANITORIAL SUPPLIES</v>
      </c>
      <c r="C235" s="12"/>
      <c r="D235" s="8">
        <v>9698.02</v>
      </c>
      <c r="E235" s="3"/>
      <c r="F235" s="7">
        <f t="shared" si="44"/>
        <v>3.6109006483958572E-3</v>
      </c>
      <c r="G235" s="3"/>
      <c r="H235" s="8">
        <v>648.99</v>
      </c>
      <c r="I235" s="3"/>
      <c r="J235" s="7">
        <f t="shared" si="45"/>
        <v>1.1883427166551983E-3</v>
      </c>
      <c r="K235" s="3"/>
      <c r="L235" s="8">
        <f t="shared" si="46"/>
        <v>9049.0300000000007</v>
      </c>
      <c r="M235" s="3"/>
      <c r="N235" s="7">
        <f t="shared" si="47"/>
        <v>13.943250281206183</v>
      </c>
      <c r="O235" s="12"/>
      <c r="P235" s="8">
        <v>54768.17</v>
      </c>
      <c r="Q235" s="3"/>
      <c r="R235" s="7">
        <f t="shared" si="48"/>
        <v>3.5003497076128961E-3</v>
      </c>
      <c r="S235" s="3"/>
      <c r="T235" s="8">
        <v>20824.93</v>
      </c>
      <c r="U235" s="3"/>
      <c r="V235" s="7">
        <f t="shared" si="49"/>
        <v>2.9120131439024717E-3</v>
      </c>
      <c r="W235" s="3"/>
      <c r="X235" s="8">
        <f t="shared" si="50"/>
        <v>33943.24</v>
      </c>
      <c r="Y235" s="3"/>
      <c r="Z235" s="7">
        <f t="shared" si="51"/>
        <v>1.6299329697626834</v>
      </c>
    </row>
    <row r="236" spans="1:26" s="69" customFormat="1" ht="15" hidden="1" customHeight="1" outlineLevel="2" x14ac:dyDescent="0.3">
      <c r="A236" s="26"/>
      <c r="B236" s="12" t="str">
        <f>CONCATENATE("          ","6239"," - ","KITCHEN SUPPLIES")</f>
        <v xml:space="preserve">          6239 - KITCHEN SUPPLIES</v>
      </c>
      <c r="C236" s="12"/>
      <c r="D236" s="8">
        <v>3639.07</v>
      </c>
      <c r="E236" s="3"/>
      <c r="F236" s="7">
        <f t="shared" si="44"/>
        <v>1.3549487650631688E-3</v>
      </c>
      <c r="G236" s="3"/>
      <c r="H236" s="8">
        <v>253.3</v>
      </c>
      <c r="I236" s="3"/>
      <c r="J236" s="7">
        <f t="shared" si="45"/>
        <v>4.6380870295191257E-4</v>
      </c>
      <c r="K236" s="3"/>
      <c r="L236" s="8">
        <f t="shared" si="46"/>
        <v>3385.77</v>
      </c>
      <c r="M236" s="3"/>
      <c r="N236" s="7">
        <f t="shared" si="47"/>
        <v>13.366640347414133</v>
      </c>
      <c r="O236" s="12"/>
      <c r="P236" s="8">
        <v>32599.3</v>
      </c>
      <c r="Q236" s="3"/>
      <c r="R236" s="7">
        <f t="shared" si="48"/>
        <v>2.0834902868469966E-3</v>
      </c>
      <c r="S236" s="3"/>
      <c r="T236" s="8">
        <v>7067.16</v>
      </c>
      <c r="U236" s="3"/>
      <c r="V236" s="7">
        <f t="shared" si="49"/>
        <v>9.8822242428002363E-4</v>
      </c>
      <c r="W236" s="3"/>
      <c r="X236" s="8">
        <f t="shared" si="50"/>
        <v>25532.14</v>
      </c>
      <c r="Y236" s="3"/>
      <c r="Z236" s="7">
        <f t="shared" si="51"/>
        <v>3.6127864658504971</v>
      </c>
    </row>
    <row r="237" spans="1:26" s="69" customFormat="1" ht="15" hidden="1" customHeight="1" outlineLevel="2" x14ac:dyDescent="0.3">
      <c r="A237" s="26"/>
      <c r="B237" s="12" t="str">
        <f>CONCATENATE("          ","6241"," - ","OFFICE EXPENSE")</f>
        <v xml:space="preserve">          6241 - OFFICE EXPENSE</v>
      </c>
      <c r="C237" s="12"/>
      <c r="D237" s="8">
        <v>7961.45</v>
      </c>
      <c r="E237" s="3"/>
      <c r="F237" s="7">
        <f t="shared" si="44"/>
        <v>2.9643169396610025E-3</v>
      </c>
      <c r="G237" s="3"/>
      <c r="H237" s="8">
        <v>1775.82</v>
      </c>
      <c r="I237" s="3"/>
      <c r="J237" s="7">
        <f t="shared" si="45"/>
        <v>3.2516414168024684E-3</v>
      </c>
      <c r="K237" s="3"/>
      <c r="L237" s="8">
        <f t="shared" si="46"/>
        <v>6185.63</v>
      </c>
      <c r="M237" s="3"/>
      <c r="N237" s="7">
        <f t="shared" si="47"/>
        <v>3.4832528071538782</v>
      </c>
      <c r="O237" s="12"/>
      <c r="P237" s="8">
        <v>56724.79</v>
      </c>
      <c r="Q237" s="3"/>
      <c r="R237" s="7">
        <f t="shared" si="48"/>
        <v>3.6254014346453959E-3</v>
      </c>
      <c r="S237" s="3"/>
      <c r="T237" s="8">
        <v>29788.25</v>
      </c>
      <c r="U237" s="3"/>
      <c r="V237" s="7">
        <f t="shared" si="49"/>
        <v>4.1653813738558934E-3</v>
      </c>
      <c r="W237" s="3"/>
      <c r="X237" s="8">
        <f t="shared" si="50"/>
        <v>26936.54</v>
      </c>
      <c r="Y237" s="3"/>
      <c r="Z237" s="7">
        <f t="shared" si="51"/>
        <v>0.90426728659790356</v>
      </c>
    </row>
    <row r="238" spans="1:26" s="69" customFormat="1" ht="15" hidden="1" customHeight="1" outlineLevel="2" x14ac:dyDescent="0.3">
      <c r="A238" s="26"/>
      <c r="B238" s="12" t="str">
        <f>CONCATENATE("          ","6243"," - ","PAPER SUPPLIES")</f>
        <v xml:space="preserve">          6243 - PAPER SUPPLIES</v>
      </c>
      <c r="C238" s="12"/>
      <c r="D238" s="8">
        <v>15191.45</v>
      </c>
      <c r="E238" s="3"/>
      <c r="F238" s="7">
        <f t="shared" si="44"/>
        <v>5.6562903206090771E-3</v>
      </c>
      <c r="G238" s="3"/>
      <c r="H238" s="8">
        <v>7200.74</v>
      </c>
      <c r="I238" s="3"/>
      <c r="J238" s="7">
        <f t="shared" si="45"/>
        <v>1.3185021238428562E-2</v>
      </c>
      <c r="K238" s="3"/>
      <c r="L238" s="8">
        <f t="shared" si="46"/>
        <v>7990.7100000000009</v>
      </c>
      <c r="M238" s="3"/>
      <c r="N238" s="7">
        <f t="shared" si="47"/>
        <v>1.1097067801364862</v>
      </c>
      <c r="O238" s="12"/>
      <c r="P238" s="8">
        <v>158979.79</v>
      </c>
      <c r="Q238" s="3"/>
      <c r="R238" s="7">
        <f t="shared" si="48"/>
        <v>1.0160734993388673E-2</v>
      </c>
      <c r="S238" s="3"/>
      <c r="T238" s="8">
        <v>30492.38</v>
      </c>
      <c r="U238" s="3"/>
      <c r="V238" s="7">
        <f t="shared" si="49"/>
        <v>4.2638420080580754E-3</v>
      </c>
      <c r="W238" s="3"/>
      <c r="X238" s="8">
        <f t="shared" si="50"/>
        <v>128487.41</v>
      </c>
      <c r="Y238" s="3"/>
      <c r="Z238" s="7">
        <f t="shared" si="51"/>
        <v>4.2137547151124313</v>
      </c>
    </row>
    <row r="239" spans="1:26" s="69" customFormat="1" ht="15" hidden="1" customHeight="1" outlineLevel="2" x14ac:dyDescent="0.3">
      <c r="A239" s="26"/>
      <c r="B239" s="12" t="str">
        <f>CONCATENATE("          ","6245"," - ","PRINTING")</f>
        <v xml:space="preserve">          6245 - PRINTING</v>
      </c>
      <c r="C239" s="12"/>
      <c r="D239" s="8">
        <v>502.78</v>
      </c>
      <c r="E239" s="3"/>
      <c r="F239" s="7">
        <f t="shared" si="44"/>
        <v>1.8720198844717465E-4</v>
      </c>
      <c r="G239" s="3"/>
      <c r="H239" s="8">
        <v>398.67</v>
      </c>
      <c r="I239" s="3"/>
      <c r="J239" s="7">
        <f t="shared" si="45"/>
        <v>7.299905866791906E-4</v>
      </c>
      <c r="K239" s="3"/>
      <c r="L239" s="8">
        <f t="shared" si="46"/>
        <v>104.10999999999996</v>
      </c>
      <c r="M239" s="3"/>
      <c r="N239" s="7">
        <f t="shared" si="47"/>
        <v>0.26114330147741227</v>
      </c>
      <c r="O239" s="12"/>
      <c r="P239" s="8">
        <v>4375.5200000000004</v>
      </c>
      <c r="Q239" s="3"/>
      <c r="R239" s="7">
        <f t="shared" si="48"/>
        <v>2.7964874766957487E-4</v>
      </c>
      <c r="S239" s="3"/>
      <c r="T239" s="8">
        <v>906.94</v>
      </c>
      <c r="U239" s="3"/>
      <c r="V239" s="7">
        <f t="shared" si="49"/>
        <v>1.2682017181958873E-4</v>
      </c>
      <c r="W239" s="3"/>
      <c r="X239" s="8">
        <f t="shared" si="50"/>
        <v>3468.5800000000004</v>
      </c>
      <c r="Y239" s="3"/>
      <c r="Z239" s="7">
        <f t="shared" si="51"/>
        <v>3.8244867356164689</v>
      </c>
    </row>
    <row r="240" spans="1:26" s="69" customFormat="1" ht="15" hidden="1" customHeight="1" outlineLevel="2" x14ac:dyDescent="0.3">
      <c r="A240" s="26"/>
      <c r="B240" s="12" t="str">
        <f>CONCATENATE("          ","6247"," - ","STORE SUPPLIES")</f>
        <v xml:space="preserve">          6247 - STORE SUPPLIES</v>
      </c>
      <c r="C240" s="12"/>
      <c r="D240" s="8">
        <v>15896.45</v>
      </c>
      <c r="E240" s="3"/>
      <c r="F240" s="7">
        <f t="shared" si="44"/>
        <v>5.9187856502865869E-3</v>
      </c>
      <c r="G240" s="3"/>
      <c r="H240" s="8">
        <v>3888.52</v>
      </c>
      <c r="I240" s="3"/>
      <c r="J240" s="7">
        <f t="shared" si="45"/>
        <v>7.1201319289481676E-3</v>
      </c>
      <c r="K240" s="3"/>
      <c r="L240" s="8">
        <f t="shared" si="46"/>
        <v>12007.93</v>
      </c>
      <c r="M240" s="3"/>
      <c r="N240" s="7">
        <f t="shared" si="47"/>
        <v>3.0880463518253731</v>
      </c>
      <c r="O240" s="12"/>
      <c r="P240" s="8">
        <v>48780.38</v>
      </c>
      <c r="Q240" s="3"/>
      <c r="R240" s="7">
        <f t="shared" si="48"/>
        <v>3.1176573705173271E-3</v>
      </c>
      <c r="S240" s="3"/>
      <c r="T240" s="8">
        <v>42589.02</v>
      </c>
      <c r="U240" s="3"/>
      <c r="V240" s="7">
        <f t="shared" si="49"/>
        <v>5.9553518799787195E-3</v>
      </c>
      <c r="W240" s="3"/>
      <c r="X240" s="8">
        <f t="shared" si="50"/>
        <v>6191.3600000000006</v>
      </c>
      <c r="Y240" s="3"/>
      <c r="Z240" s="7">
        <f t="shared" si="51"/>
        <v>0.14537455898257345</v>
      </c>
    </row>
    <row r="241" spans="1:26" s="69" customFormat="1" ht="15" hidden="1" customHeight="1" outlineLevel="2" x14ac:dyDescent="0.3">
      <c r="A241" s="26"/>
      <c r="B241" s="12" t="str">
        <f>CONCATENATE("          ","6248"," - ","UNIFORMS")</f>
        <v xml:space="preserve">          6248 - UNIFORMS</v>
      </c>
      <c r="C241" s="12"/>
      <c r="D241" s="8">
        <v>1522.25</v>
      </c>
      <c r="E241" s="3"/>
      <c r="F241" s="7">
        <f t="shared" si="44"/>
        <v>5.6678512851289161E-4</v>
      </c>
      <c r="G241" s="3"/>
      <c r="H241" s="8"/>
      <c r="I241" s="3"/>
      <c r="J241" s="7">
        <f t="shared" si="45"/>
        <v>0</v>
      </c>
      <c r="K241" s="3"/>
      <c r="L241" s="8">
        <f t="shared" si="46"/>
        <v>1522.25</v>
      </c>
      <c r="M241" s="3"/>
      <c r="N241" s="7">
        <f t="shared" si="47"/>
        <v>0</v>
      </c>
      <c r="O241" s="12"/>
      <c r="P241" s="8">
        <v>7735.73</v>
      </c>
      <c r="Q241" s="3"/>
      <c r="R241" s="7">
        <f t="shared" si="48"/>
        <v>4.9440688348126858E-4</v>
      </c>
      <c r="S241" s="3"/>
      <c r="T241" s="8">
        <v>4500.59</v>
      </c>
      <c r="U241" s="3"/>
      <c r="V241" s="7">
        <f t="shared" si="49"/>
        <v>6.2933115430957153E-4</v>
      </c>
      <c r="W241" s="3"/>
      <c r="X241" s="8">
        <f t="shared" si="50"/>
        <v>3235.1399999999994</v>
      </c>
      <c r="Y241" s="3"/>
      <c r="Z241" s="7">
        <f t="shared" si="51"/>
        <v>0.71882575395670334</v>
      </c>
    </row>
    <row r="242" spans="1:26" s="68" customFormat="1" ht="15" customHeight="1" outlineLevel="1" collapsed="1" x14ac:dyDescent="0.3">
      <c r="A242" s="25"/>
      <c r="B242" s="14" t="str">
        <f>CONCATENATE("     ","Telephone/Data Lines                              ")</f>
        <v xml:space="preserve">     Telephone/Data Lines                              </v>
      </c>
      <c r="C242" s="14"/>
      <c r="D242" s="2">
        <f>SUM(OSRRefD22_23x_0)</f>
        <v>3525.37</v>
      </c>
      <c r="E242" s="2"/>
      <c r="F242" s="6">
        <f t="shared" si="44"/>
        <v>1.3126144118939022E-3</v>
      </c>
      <c r="G242" s="2"/>
      <c r="H242" s="2">
        <f>SUM(OSRRefH22_23x_0)</f>
        <v>2147.4899999999998</v>
      </c>
      <c r="I242" s="2"/>
      <c r="J242" s="6">
        <f t="shared" si="45"/>
        <v>3.9321932550422526E-3</v>
      </c>
      <c r="K242" s="2"/>
      <c r="L242" s="2">
        <f t="shared" si="46"/>
        <v>1377.88</v>
      </c>
      <c r="M242" s="2"/>
      <c r="N242" s="6">
        <f t="shared" si="47"/>
        <v>0.64162347671001974</v>
      </c>
      <c r="O242" s="14"/>
      <c r="P242" s="2">
        <f>SUM(OSRRefP22_23x_0)</f>
        <v>28528</v>
      </c>
      <c r="Q242" s="2"/>
      <c r="R242" s="6">
        <f t="shared" si="48"/>
        <v>1.823284883515018E-3</v>
      </c>
      <c r="S242" s="2"/>
      <c r="T242" s="2">
        <f>SUM(OSRRefT22_23x_0)</f>
        <v>34873</v>
      </c>
      <c r="U242" s="2"/>
      <c r="V242" s="6">
        <f t="shared" si="49"/>
        <v>4.876397393283478E-3</v>
      </c>
      <c r="W242" s="2"/>
      <c r="X242" s="2">
        <f t="shared" si="50"/>
        <v>-6345</v>
      </c>
      <c r="Y242" s="2"/>
      <c r="Z242" s="6">
        <f t="shared" si="51"/>
        <v>-0.1819459180454793</v>
      </c>
    </row>
    <row r="243" spans="1:26" s="69" customFormat="1" ht="15" hidden="1" customHeight="1" outlineLevel="2" x14ac:dyDescent="0.3">
      <c r="A243" s="26"/>
      <c r="B243" s="12" t="str">
        <f>CONCATENATE("          ","6303"," - ","DATA PHONE LINES")</f>
        <v xml:space="preserve">          6303 - DATA PHONE LINES</v>
      </c>
      <c r="C243" s="12"/>
      <c r="D243" s="8"/>
      <c r="E243" s="3"/>
      <c r="F243" s="7">
        <f t="shared" si="44"/>
        <v>0</v>
      </c>
      <c r="G243" s="3"/>
      <c r="H243" s="8">
        <v>590</v>
      </c>
      <c r="I243" s="3"/>
      <c r="J243" s="7">
        <f t="shared" si="45"/>
        <v>1.0803282066388805E-3</v>
      </c>
      <c r="K243" s="3"/>
      <c r="L243" s="8">
        <f t="shared" si="46"/>
        <v>-590</v>
      </c>
      <c r="M243" s="3"/>
      <c r="N243" s="7">
        <f t="shared" si="47"/>
        <v>-1</v>
      </c>
      <c r="O243" s="12"/>
      <c r="P243" s="8">
        <v>295</v>
      </c>
      <c r="Q243" s="3"/>
      <c r="R243" s="7">
        <f t="shared" si="48"/>
        <v>1.8854074615708438E-5</v>
      </c>
      <c r="S243" s="3"/>
      <c r="T243" s="8">
        <v>2950</v>
      </c>
      <c r="U243" s="3"/>
      <c r="V243" s="7">
        <f t="shared" si="49"/>
        <v>4.1250745018169531E-4</v>
      </c>
      <c r="W243" s="3"/>
      <c r="X243" s="8">
        <f t="shared" si="50"/>
        <v>-2655</v>
      </c>
      <c r="Y243" s="3"/>
      <c r="Z243" s="7">
        <f t="shared" si="51"/>
        <v>-0.9</v>
      </c>
    </row>
    <row r="244" spans="1:26" s="69" customFormat="1" ht="15" hidden="1" customHeight="1" outlineLevel="2" x14ac:dyDescent="0.3">
      <c r="A244" s="26"/>
      <c r="B244" s="12" t="str">
        <f>CONCATENATE("          ","6309"," - ","TELEPHONE")</f>
        <v xml:space="preserve">          6309 - TELEPHONE</v>
      </c>
      <c r="C244" s="12"/>
      <c r="D244" s="8">
        <v>3525.37</v>
      </c>
      <c r="E244" s="3"/>
      <c r="F244" s="7">
        <f t="shared" si="44"/>
        <v>1.3126144118939022E-3</v>
      </c>
      <c r="G244" s="3"/>
      <c r="H244" s="8">
        <v>1557.49</v>
      </c>
      <c r="I244" s="3"/>
      <c r="J244" s="7">
        <f t="shared" si="45"/>
        <v>2.8518650484033723E-3</v>
      </c>
      <c r="K244" s="3"/>
      <c r="L244" s="8">
        <f t="shared" si="46"/>
        <v>1967.8799999999999</v>
      </c>
      <c r="M244" s="3"/>
      <c r="N244" s="7">
        <f t="shared" si="47"/>
        <v>1.2634944686643252</v>
      </c>
      <c r="O244" s="12"/>
      <c r="P244" s="8">
        <v>28233</v>
      </c>
      <c r="Q244" s="3"/>
      <c r="R244" s="7">
        <f t="shared" si="48"/>
        <v>1.8044308088993096E-3</v>
      </c>
      <c r="S244" s="3"/>
      <c r="T244" s="8">
        <v>31923</v>
      </c>
      <c r="U244" s="3"/>
      <c r="V244" s="7">
        <f t="shared" si="49"/>
        <v>4.4638899431017828E-3</v>
      </c>
      <c r="W244" s="3"/>
      <c r="X244" s="8">
        <f t="shared" si="50"/>
        <v>-3690</v>
      </c>
      <c r="Y244" s="3"/>
      <c r="Z244" s="7">
        <f t="shared" si="51"/>
        <v>-0.11559063997744573</v>
      </c>
    </row>
    <row r="245" spans="1:26" s="68" customFormat="1" ht="15" customHeight="1" outlineLevel="1" collapsed="1" x14ac:dyDescent="0.3">
      <c r="A245" s="25"/>
      <c r="B245" s="14" t="str">
        <f>CONCATENATE("     ","Training                                          ")</f>
        <v xml:space="preserve">     Training                                          </v>
      </c>
      <c r="C245" s="14"/>
      <c r="D245" s="2">
        <f>SUM(OSRRefD22_24x_0)</f>
        <v>5100</v>
      </c>
      <c r="E245" s="2"/>
      <c r="F245" s="6">
        <f t="shared" si="44"/>
        <v>1.8989023849011314E-3</v>
      </c>
      <c r="G245" s="2"/>
      <c r="H245" s="2">
        <f>SUM(OSRRefH22_24x_0)</f>
        <v>750</v>
      </c>
      <c r="I245" s="2"/>
      <c r="J245" s="6">
        <f t="shared" si="45"/>
        <v>1.3732985677612885E-3</v>
      </c>
      <c r="K245" s="2"/>
      <c r="L245" s="2">
        <f t="shared" si="46"/>
        <v>4350</v>
      </c>
      <c r="M245" s="2"/>
      <c r="N245" s="6">
        <f t="shared" si="47"/>
        <v>5.8</v>
      </c>
      <c r="O245" s="14"/>
      <c r="P245" s="2">
        <f>SUM(OSRRefP22_24x_0)</f>
        <v>9088.8700000000008</v>
      </c>
      <c r="Q245" s="2"/>
      <c r="R245" s="6">
        <f t="shared" si="48"/>
        <v>5.8088892594058972E-4</v>
      </c>
      <c r="S245" s="2"/>
      <c r="T245" s="2">
        <f>SUM(OSRRefT22_24x_0)</f>
        <v>2130.63</v>
      </c>
      <c r="U245" s="2"/>
      <c r="V245" s="6">
        <f t="shared" si="49"/>
        <v>2.9793245714597477E-4</v>
      </c>
      <c r="W245" s="2"/>
      <c r="X245" s="2">
        <f t="shared" si="50"/>
        <v>6958.2400000000007</v>
      </c>
      <c r="Y245" s="2"/>
      <c r="Z245" s="6">
        <f t="shared" si="51"/>
        <v>3.2658133979151707</v>
      </c>
    </row>
    <row r="246" spans="1:26" s="69" customFormat="1" ht="15" hidden="1" customHeight="1" outlineLevel="2" x14ac:dyDescent="0.3">
      <c r="A246" s="26"/>
      <c r="B246" s="12" t="str">
        <f>CONCATENATE("          ","6376"," - ","TRAINING")</f>
        <v xml:space="preserve">          6376 - TRAINING</v>
      </c>
      <c r="C246" s="12"/>
      <c r="D246" s="8">
        <v>5100</v>
      </c>
      <c r="E246" s="3"/>
      <c r="F246" s="7">
        <f t="shared" si="44"/>
        <v>1.8989023849011314E-3</v>
      </c>
      <c r="G246" s="3"/>
      <c r="H246" s="8">
        <v>750</v>
      </c>
      <c r="I246" s="3"/>
      <c r="J246" s="7">
        <f t="shared" si="45"/>
        <v>1.3732985677612885E-3</v>
      </c>
      <c r="K246" s="3"/>
      <c r="L246" s="8">
        <f t="shared" si="46"/>
        <v>4350</v>
      </c>
      <c r="M246" s="3"/>
      <c r="N246" s="7">
        <f t="shared" si="47"/>
        <v>5.8</v>
      </c>
      <c r="O246" s="12"/>
      <c r="P246" s="8">
        <v>9088.8700000000008</v>
      </c>
      <c r="Q246" s="3"/>
      <c r="R246" s="7">
        <f t="shared" si="48"/>
        <v>5.8088892594058972E-4</v>
      </c>
      <c r="S246" s="3"/>
      <c r="T246" s="8">
        <v>2130.63</v>
      </c>
      <c r="U246" s="3"/>
      <c r="V246" s="7">
        <f t="shared" si="49"/>
        <v>2.9793245714597477E-4</v>
      </c>
      <c r="W246" s="3"/>
      <c r="X246" s="8">
        <f t="shared" si="50"/>
        <v>6958.2400000000007</v>
      </c>
      <c r="Y246" s="3"/>
      <c r="Z246" s="7">
        <f t="shared" si="51"/>
        <v>3.2658133979151707</v>
      </c>
    </row>
    <row r="247" spans="1:26" s="68" customFormat="1" ht="15" customHeight="1" outlineLevel="1" collapsed="1" x14ac:dyDescent="0.3">
      <c r="A247" s="25"/>
      <c r="B247" s="14" t="str">
        <f>CONCATENATE("     ","Travel                                            ")</f>
        <v xml:space="preserve">     Travel                                            </v>
      </c>
      <c r="C247" s="14"/>
      <c r="D247" s="2">
        <f>SUM(OSRRefD22_25x_0)</f>
        <v>329.4</v>
      </c>
      <c r="E247" s="2"/>
      <c r="F247" s="6">
        <f t="shared" si="44"/>
        <v>1.2264675403655541E-4</v>
      </c>
      <c r="G247" s="2"/>
      <c r="H247" s="2">
        <f>SUM(OSRRefH22_25x_0)</f>
        <v>0</v>
      </c>
      <c r="I247" s="2"/>
      <c r="J247" s="6">
        <f t="shared" si="45"/>
        <v>0</v>
      </c>
      <c r="K247" s="2"/>
      <c r="L247" s="2">
        <f t="shared" si="46"/>
        <v>329.4</v>
      </c>
      <c r="M247" s="2"/>
      <c r="N247" s="6">
        <f t="shared" si="47"/>
        <v>0</v>
      </c>
      <c r="O247" s="14"/>
      <c r="P247" s="2">
        <f>SUM(OSRRefP22_25x_0)</f>
        <v>1929.02</v>
      </c>
      <c r="Q247" s="2"/>
      <c r="R247" s="6">
        <f t="shared" si="48"/>
        <v>1.232877525938776E-4</v>
      </c>
      <c r="S247" s="2"/>
      <c r="T247" s="2">
        <f>SUM(OSRRefT22_25x_0)</f>
        <v>1142.52</v>
      </c>
      <c r="U247" s="2"/>
      <c r="V247" s="6">
        <f t="shared" si="49"/>
        <v>1.597620379598612E-4</v>
      </c>
      <c r="W247" s="2"/>
      <c r="X247" s="2">
        <f t="shared" si="50"/>
        <v>786.5</v>
      </c>
      <c r="Y247" s="2"/>
      <c r="Z247" s="6">
        <f t="shared" si="51"/>
        <v>0.68839057521968983</v>
      </c>
    </row>
    <row r="248" spans="1:26" s="69" customFormat="1" ht="15" hidden="1" customHeight="1" outlineLevel="2" x14ac:dyDescent="0.3">
      <c r="A248" s="26"/>
      <c r="B248" s="12" t="str">
        <f>CONCATENATE("          ","6292"," - ","TRAVEL/CONFERENCE")</f>
        <v xml:space="preserve">          6292 - TRAVEL/CONFERENCE</v>
      </c>
      <c r="C248" s="12"/>
      <c r="D248" s="8"/>
      <c r="E248" s="3"/>
      <c r="F248" s="7">
        <f t="shared" si="44"/>
        <v>0</v>
      </c>
      <c r="G248" s="3"/>
      <c r="H248" s="8"/>
      <c r="I248" s="3"/>
      <c r="J248" s="7">
        <f t="shared" si="45"/>
        <v>0</v>
      </c>
      <c r="K248" s="3"/>
      <c r="L248" s="8">
        <f t="shared" si="46"/>
        <v>0</v>
      </c>
      <c r="M248" s="3"/>
      <c r="N248" s="7">
        <f t="shared" si="47"/>
        <v>0</v>
      </c>
      <c r="O248" s="12"/>
      <c r="P248" s="8">
        <v>1108.5899999999999</v>
      </c>
      <c r="Q248" s="3"/>
      <c r="R248" s="7">
        <f t="shared" si="48"/>
        <v>7.0852334163485476E-5</v>
      </c>
      <c r="S248" s="3"/>
      <c r="T248" s="8">
        <v>299.16000000000003</v>
      </c>
      <c r="U248" s="3"/>
      <c r="V248" s="7">
        <f t="shared" si="49"/>
        <v>4.1832450439442705E-5</v>
      </c>
      <c r="W248" s="3"/>
      <c r="X248" s="8">
        <f t="shared" si="50"/>
        <v>809.42999999999984</v>
      </c>
      <c r="Y248" s="3"/>
      <c r="Z248" s="7">
        <f t="shared" si="51"/>
        <v>2.7056758924989963</v>
      </c>
    </row>
    <row r="249" spans="1:26" s="69" customFormat="1" ht="15" hidden="1" customHeight="1" outlineLevel="2" x14ac:dyDescent="0.3">
      <c r="A249" s="26"/>
      <c r="B249" s="12" t="str">
        <f>CONCATENATE("          ","6294"," - ","TRAVEL OPERATIONAL")</f>
        <v xml:space="preserve">          6294 - TRAVEL OPERATIONAL</v>
      </c>
      <c r="C249" s="12"/>
      <c r="D249" s="8">
        <v>116.74</v>
      </c>
      <c r="E249" s="3"/>
      <c r="F249" s="7">
        <f t="shared" si="44"/>
        <v>4.346624792418786E-5</v>
      </c>
      <c r="G249" s="3"/>
      <c r="H249" s="8"/>
      <c r="I249" s="3"/>
      <c r="J249" s="7">
        <f t="shared" si="45"/>
        <v>0</v>
      </c>
      <c r="K249" s="3"/>
      <c r="L249" s="8">
        <f t="shared" si="46"/>
        <v>116.74</v>
      </c>
      <c r="M249" s="3"/>
      <c r="N249" s="7">
        <f t="shared" si="47"/>
        <v>0</v>
      </c>
      <c r="O249" s="12"/>
      <c r="P249" s="8">
        <v>356.67</v>
      </c>
      <c r="Q249" s="3"/>
      <c r="R249" s="7">
        <f t="shared" si="48"/>
        <v>2.2795534892151623E-5</v>
      </c>
      <c r="S249" s="3"/>
      <c r="T249" s="8">
        <v>451.26</v>
      </c>
      <c r="U249" s="3"/>
      <c r="V249" s="7">
        <f t="shared" si="49"/>
        <v>6.3101054904742988E-5</v>
      </c>
      <c r="W249" s="3"/>
      <c r="X249" s="8">
        <f t="shared" si="50"/>
        <v>-94.589999999999975</v>
      </c>
      <c r="Y249" s="3"/>
      <c r="Z249" s="7">
        <f t="shared" si="51"/>
        <v>-0.20961308336657355</v>
      </c>
    </row>
    <row r="250" spans="1:26" s="69" customFormat="1" ht="15" hidden="1" customHeight="1" outlineLevel="2" x14ac:dyDescent="0.3">
      <c r="A250" s="26"/>
      <c r="B250" s="12" t="str">
        <f>CONCATENATE("          ","6298"," - ","VEHICLE MILEAGE")</f>
        <v xml:space="preserve">          6298 - VEHICLE MILEAGE</v>
      </c>
      <c r="C250" s="12"/>
      <c r="D250" s="8">
        <v>212.66</v>
      </c>
      <c r="E250" s="3"/>
      <c r="F250" s="7">
        <f t="shared" si="44"/>
        <v>7.9180506112367562E-5</v>
      </c>
      <c r="G250" s="3"/>
      <c r="H250" s="8"/>
      <c r="I250" s="3"/>
      <c r="J250" s="7">
        <f t="shared" si="45"/>
        <v>0</v>
      </c>
      <c r="K250" s="3"/>
      <c r="L250" s="8">
        <f t="shared" si="46"/>
        <v>212.66</v>
      </c>
      <c r="M250" s="3"/>
      <c r="N250" s="7">
        <f t="shared" si="47"/>
        <v>0</v>
      </c>
      <c r="O250" s="12"/>
      <c r="P250" s="8">
        <v>463.76</v>
      </c>
      <c r="Q250" s="3"/>
      <c r="R250" s="7">
        <f t="shared" si="48"/>
        <v>2.963988353824049E-5</v>
      </c>
      <c r="S250" s="3"/>
      <c r="T250" s="8">
        <v>392.1</v>
      </c>
      <c r="U250" s="3"/>
      <c r="V250" s="7">
        <f t="shared" si="49"/>
        <v>5.4828532615675506E-5</v>
      </c>
      <c r="W250" s="3"/>
      <c r="X250" s="8">
        <f t="shared" si="50"/>
        <v>71.659999999999968</v>
      </c>
      <c r="Y250" s="3"/>
      <c r="Z250" s="7">
        <f t="shared" si="51"/>
        <v>0.1827595001275184</v>
      </c>
    </row>
    <row r="251" spans="1:26" s="68" customFormat="1" ht="15" customHeight="1" outlineLevel="1" collapsed="1" x14ac:dyDescent="0.3">
      <c r="A251" s="25"/>
      <c r="B251" s="14" t="str">
        <f>CONCATENATE("     ","Utilities                                         ")</f>
        <v xml:space="preserve">     Utilities                                         </v>
      </c>
      <c r="C251" s="14"/>
      <c r="D251" s="2">
        <f>SUM(OSRRefD22_26x_0)</f>
        <v>14605.65</v>
      </c>
      <c r="E251" s="2"/>
      <c r="F251" s="6">
        <f t="shared" si="44"/>
        <v>5.4381771800061192E-3</v>
      </c>
      <c r="G251" s="2"/>
      <c r="H251" s="2">
        <f>SUM(OSRRefH22_26x_0)</f>
        <v>10957.14</v>
      </c>
      <c r="I251" s="2"/>
      <c r="J251" s="6">
        <f t="shared" si="45"/>
        <v>2.00632328916799E-2</v>
      </c>
      <c r="K251" s="2"/>
      <c r="L251" s="2">
        <f t="shared" si="46"/>
        <v>3648.51</v>
      </c>
      <c r="M251" s="2"/>
      <c r="N251" s="6">
        <f t="shared" si="47"/>
        <v>0.33298013897787199</v>
      </c>
      <c r="O251" s="14"/>
      <c r="P251" s="2">
        <f>SUM(OSRRefP22_26x_0)</f>
        <v>106495.07</v>
      </c>
      <c r="Q251" s="2"/>
      <c r="R251" s="6">
        <f t="shared" si="48"/>
        <v>6.8063254101189598E-3</v>
      </c>
      <c r="S251" s="2"/>
      <c r="T251" s="2">
        <f>SUM(OSRRefT22_26x_0)</f>
        <v>63230.17</v>
      </c>
      <c r="U251" s="2"/>
      <c r="V251" s="6">
        <f t="shared" si="49"/>
        <v>8.8416665089000417E-3</v>
      </c>
      <c r="W251" s="2"/>
      <c r="X251" s="2">
        <f t="shared" si="50"/>
        <v>43264.900000000009</v>
      </c>
      <c r="Y251" s="2"/>
      <c r="Z251" s="6">
        <f t="shared" si="51"/>
        <v>0.68424456236635156</v>
      </c>
    </row>
    <row r="252" spans="1:26" s="69" customFormat="1" ht="15" hidden="1" customHeight="1" outlineLevel="2" x14ac:dyDescent="0.3">
      <c r="A252" s="26"/>
      <c r="B252" s="12" t="str">
        <f>CONCATENATE("          ","6274"," - ","UTILITIES")</f>
        <v xml:space="preserve">          6274 - UTILITIES</v>
      </c>
      <c r="C252" s="12"/>
      <c r="D252" s="8">
        <v>14605.65</v>
      </c>
      <c r="E252" s="3"/>
      <c r="F252" s="7">
        <f t="shared" si="44"/>
        <v>5.4381771800061192E-3</v>
      </c>
      <c r="G252" s="3"/>
      <c r="H252" s="8">
        <v>10957.14</v>
      </c>
      <c r="I252" s="3"/>
      <c r="J252" s="7">
        <f t="shared" si="45"/>
        <v>2.00632328916799E-2</v>
      </c>
      <c r="K252" s="3"/>
      <c r="L252" s="8">
        <f t="shared" si="46"/>
        <v>3648.51</v>
      </c>
      <c r="M252" s="3"/>
      <c r="N252" s="7">
        <f t="shared" si="47"/>
        <v>0.33298013897787199</v>
      </c>
      <c r="O252" s="12"/>
      <c r="P252" s="8">
        <v>106495.07</v>
      </c>
      <c r="Q252" s="3"/>
      <c r="R252" s="7">
        <f t="shared" si="48"/>
        <v>6.8063254101189598E-3</v>
      </c>
      <c r="S252" s="3"/>
      <c r="T252" s="8">
        <v>63230.17</v>
      </c>
      <c r="U252" s="3"/>
      <c r="V252" s="7">
        <f t="shared" si="49"/>
        <v>8.8416665089000417E-3</v>
      </c>
      <c r="W252" s="3"/>
      <c r="X252" s="8">
        <f t="shared" si="50"/>
        <v>43264.900000000009</v>
      </c>
      <c r="Y252" s="3"/>
      <c r="Z252" s="7">
        <f t="shared" si="51"/>
        <v>0.68424456236635156</v>
      </c>
    </row>
    <row r="253" spans="1:26" s="64" customFormat="1" ht="15" customHeight="1" x14ac:dyDescent="0.3">
      <c r="A253" s="36"/>
      <c r="B253" s="36"/>
      <c r="C253" s="36"/>
      <c r="D253" s="2"/>
      <c r="E253" s="2"/>
      <c r="F253" s="6"/>
      <c r="G253" s="2"/>
      <c r="H253" s="2"/>
      <c r="I253" s="2"/>
      <c r="J253" s="6"/>
      <c r="K253" s="2"/>
      <c r="L253" s="2"/>
      <c r="M253" s="2"/>
      <c r="N253" s="6"/>
      <c r="O253" s="36"/>
      <c r="P253" s="2"/>
      <c r="Q253" s="2"/>
      <c r="R253" s="6"/>
      <c r="S253" s="2"/>
      <c r="T253" s="2"/>
      <c r="U253" s="2"/>
      <c r="V253" s="6"/>
      <c r="W253" s="2"/>
      <c r="X253" s="2"/>
      <c r="Y253" s="2"/>
      <c r="Z253" s="6"/>
    </row>
    <row r="254" spans="1:26" s="62" customFormat="1" ht="15" customHeight="1" collapsed="1" x14ac:dyDescent="0.3">
      <c r="A254" s="11"/>
      <c r="B254" s="27" t="s">
        <v>290</v>
      </c>
      <c r="C254" s="11"/>
      <c r="D254" s="5">
        <f>SUM(OSRRefD25x_0)</f>
        <v>216629.77</v>
      </c>
      <c r="E254" s="5"/>
      <c r="F254" s="13">
        <f t="shared" ref="F254:F262" si="52">IF(D$12=0,0,D254/D$12)</f>
        <v>8.0658585665408539E-2</v>
      </c>
      <c r="G254" s="5"/>
      <c r="H254" s="5">
        <f>SUM(OSRRefH25x_0)</f>
        <v>199158.76</v>
      </c>
      <c r="I254" s="5"/>
      <c r="J254" s="13">
        <f t="shared" ref="J254:J262" si="53">IF(H$12=0,0,H254/H$12)</f>
        <v>0.36467258648681894</v>
      </c>
      <c r="K254" s="5"/>
      <c r="L254" s="5">
        <f t="shared" ref="L254:L262" si="54">+D254-H254</f>
        <v>17471.00999999998</v>
      </c>
      <c r="M254" s="5"/>
      <c r="N254" s="13">
        <f t="shared" ref="N254:N262" si="55">IF(H254=0,0,L254/H254)</f>
        <v>8.7724034835324233E-2</v>
      </c>
      <c r="O254" s="11"/>
      <c r="P254" s="5">
        <f>SUM(OSRRefP25x_0)</f>
        <v>883749.33</v>
      </c>
      <c r="Q254" s="5"/>
      <c r="R254" s="13">
        <f t="shared" ref="R254:R262" si="56">IF(P$12=0,0,P254/P$12)</f>
        <v>5.6482290879329961E-2</v>
      </c>
      <c r="S254" s="5"/>
      <c r="T254" s="5">
        <f>SUM(OSRRefT25x_0)</f>
        <v>794011.95</v>
      </c>
      <c r="U254" s="5"/>
      <c r="V254" s="13">
        <f t="shared" ref="V254:V262" si="57">IF(T$12=0,0,T254/T$12)</f>
        <v>0.1110290999689138</v>
      </c>
      <c r="W254" s="5"/>
      <c r="X254" s="5">
        <f t="shared" ref="X254:X262" si="58">+P254-T254</f>
        <v>89737.38</v>
      </c>
      <c r="Y254" s="5"/>
      <c r="Z254" s="13">
        <f t="shared" ref="Z254:Z262" si="59">IF(T254=0,0,X254/T254)</f>
        <v>0.11301766931845296</v>
      </c>
    </row>
    <row r="255" spans="1:26" s="69" customFormat="1" ht="15" hidden="1" customHeight="1" outlineLevel="1" x14ac:dyDescent="0.3">
      <c r="A255" s="42"/>
      <c r="B255" s="12" t="str">
        <f>CONCATENATE("          ","4187"," - ","NON-TAXABLE SALES-COMPUTER REP")</f>
        <v xml:space="preserve">          4187 - NON-TAXABLE SALES-COMPUTER REP</v>
      </c>
      <c r="C255" s="12"/>
      <c r="D255" s="3">
        <f>0</f>
        <v>0</v>
      </c>
      <c r="E255" s="3"/>
      <c r="F255" s="20">
        <f t="shared" si="52"/>
        <v>0</v>
      </c>
      <c r="G255" s="3"/>
      <c r="H255" s="3">
        <f>-231.36</f>
        <v>-231.36</v>
      </c>
      <c r="I255" s="3"/>
      <c r="J255" s="20">
        <f t="shared" si="53"/>
        <v>-4.236351421830023E-4</v>
      </c>
      <c r="K255" s="3"/>
      <c r="L255" s="3">
        <f t="shared" si="54"/>
        <v>231.36</v>
      </c>
      <c r="M255" s="3"/>
      <c r="N255" s="20">
        <f t="shared" si="55"/>
        <v>-1</v>
      </c>
      <c r="O255" s="12"/>
      <c r="P255" s="3">
        <f>0</f>
        <v>0</v>
      </c>
      <c r="Q255" s="3"/>
      <c r="R255" s="20">
        <f t="shared" si="56"/>
        <v>0</v>
      </c>
      <c r="S255" s="3"/>
      <c r="T255" s="3">
        <f>--1454.51</f>
        <v>1454.51</v>
      </c>
      <c r="U255" s="3"/>
      <c r="V255" s="20">
        <f t="shared" si="57"/>
        <v>2.0338854622500935E-4</v>
      </c>
      <c r="W255" s="3"/>
      <c r="X255" s="3">
        <f t="shared" si="58"/>
        <v>-1454.51</v>
      </c>
      <c r="Y255" s="3"/>
      <c r="Z255" s="20">
        <f t="shared" si="59"/>
        <v>-1</v>
      </c>
    </row>
    <row r="256" spans="1:26" s="69" customFormat="1" ht="15" hidden="1" customHeight="1" outlineLevel="1" x14ac:dyDescent="0.3">
      <c r="A256" s="42"/>
      <c r="B256" s="12" t="str">
        <f>CONCATENATE("          ","9087"," - ","")</f>
        <v xml:space="preserve">          9087 - </v>
      </c>
      <c r="C256" s="12"/>
      <c r="D256" s="3">
        <f>--576.08</f>
        <v>576.08000000000004</v>
      </c>
      <c r="E256" s="3"/>
      <c r="F256" s="20">
        <f t="shared" si="52"/>
        <v>2.1449405605761644E-4</v>
      </c>
      <c r="G256" s="3"/>
      <c r="H256" s="3">
        <f>0</f>
        <v>0</v>
      </c>
      <c r="I256" s="3"/>
      <c r="J256" s="20">
        <f t="shared" si="53"/>
        <v>0</v>
      </c>
      <c r="K256" s="3"/>
      <c r="L256" s="3">
        <f t="shared" si="54"/>
        <v>576.08000000000004</v>
      </c>
      <c r="M256" s="3"/>
      <c r="N256" s="20">
        <f t="shared" si="55"/>
        <v>0</v>
      </c>
      <c r="O256" s="12"/>
      <c r="P256" s="3">
        <f>--2207.09</f>
        <v>2207.09</v>
      </c>
      <c r="Q256" s="3"/>
      <c r="R256" s="20">
        <f t="shared" si="56"/>
        <v>1.4105979506299639E-4</v>
      </c>
      <c r="S256" s="3"/>
      <c r="T256" s="3">
        <f>0</f>
        <v>0</v>
      </c>
      <c r="U256" s="3"/>
      <c r="V256" s="20">
        <f t="shared" si="57"/>
        <v>0</v>
      </c>
      <c r="W256" s="3"/>
      <c r="X256" s="3">
        <f t="shared" si="58"/>
        <v>2207.09</v>
      </c>
      <c r="Y256" s="3"/>
      <c r="Z256" s="20">
        <f t="shared" si="59"/>
        <v>0</v>
      </c>
    </row>
    <row r="257" spans="1:26" s="69" customFormat="1" ht="15" hidden="1" customHeight="1" outlineLevel="1" x14ac:dyDescent="0.3">
      <c r="A257" s="42"/>
      <c r="B257" s="12" t="str">
        <f>CONCATENATE("          ","9150"," - ","MISC. INCOME")</f>
        <v xml:space="preserve">          9150 - MISC. INCOME</v>
      </c>
      <c r="C257" s="12"/>
      <c r="D257" s="3">
        <f>--63340.01</f>
        <v>63340.01</v>
      </c>
      <c r="E257" s="3"/>
      <c r="F257" s="20">
        <f t="shared" si="52"/>
        <v>2.3583626676208141E-2</v>
      </c>
      <c r="G257" s="3"/>
      <c r="H257" s="3">
        <f>--53240.82</f>
        <v>53240.82</v>
      </c>
      <c r="I257" s="3"/>
      <c r="J257" s="20">
        <f t="shared" si="53"/>
        <v>9.7487389136582087E-2</v>
      </c>
      <c r="K257" s="3"/>
      <c r="L257" s="3">
        <f t="shared" si="54"/>
        <v>10099.190000000002</v>
      </c>
      <c r="M257" s="3"/>
      <c r="N257" s="20">
        <f t="shared" si="55"/>
        <v>0.189688851524075</v>
      </c>
      <c r="O257" s="12"/>
      <c r="P257" s="3">
        <f>--474137.21</f>
        <v>474137.21</v>
      </c>
      <c r="Q257" s="3"/>
      <c r="R257" s="20">
        <f t="shared" si="56"/>
        <v>3.030311300143668E-2</v>
      </c>
      <c r="S257" s="3"/>
      <c r="T257" s="3">
        <f>--303892.36</f>
        <v>303892.36</v>
      </c>
      <c r="U257" s="3"/>
      <c r="V257" s="20">
        <f t="shared" si="57"/>
        <v>4.2494190696033156E-2</v>
      </c>
      <c r="W257" s="3"/>
      <c r="X257" s="3">
        <f t="shared" si="58"/>
        <v>170244.85000000003</v>
      </c>
      <c r="Y257" s="3"/>
      <c r="Z257" s="20">
        <f t="shared" si="59"/>
        <v>0.5602143140419853</v>
      </c>
    </row>
    <row r="258" spans="1:26" s="69" customFormat="1" ht="15" hidden="1" customHeight="1" outlineLevel="1" x14ac:dyDescent="0.3">
      <c r="A258" s="42"/>
      <c r="B258" s="12" t="str">
        <f>CONCATENATE("          ","9151"," - ","MISC. INCOME")</f>
        <v xml:space="preserve">          9151 - MISC. INCOME</v>
      </c>
      <c r="C258" s="12"/>
      <c r="D258" s="3">
        <f>--152339.59</f>
        <v>152339.59</v>
      </c>
      <c r="E258" s="3"/>
      <c r="F258" s="20">
        <f t="shared" si="52"/>
        <v>5.6721178581541284E-2</v>
      </c>
      <c r="G258" s="3"/>
      <c r="H258" s="3">
        <f>--148653.31</f>
        <v>148653.31</v>
      </c>
      <c r="I258" s="3"/>
      <c r="J258" s="20">
        <f t="shared" si="53"/>
        <v>0.27219383695463312</v>
      </c>
      <c r="K258" s="3"/>
      <c r="L258" s="3">
        <f t="shared" si="54"/>
        <v>3686.2799999999988</v>
      </c>
      <c r="M258" s="3"/>
      <c r="N258" s="20">
        <f t="shared" si="55"/>
        <v>2.4797833294125767E-2</v>
      </c>
      <c r="O258" s="12"/>
      <c r="P258" s="3">
        <f>--323761.7</f>
        <v>323761.7</v>
      </c>
      <c r="Q258" s="3"/>
      <c r="R258" s="20">
        <f t="shared" si="56"/>
        <v>2.0692295761046139E-2</v>
      </c>
      <c r="S258" s="3"/>
      <c r="T258" s="3">
        <f>--297910.7</f>
        <v>297910.7</v>
      </c>
      <c r="U258" s="3"/>
      <c r="V258" s="20">
        <f t="shared" si="57"/>
        <v>4.16577570301166E-2</v>
      </c>
      <c r="W258" s="3"/>
      <c r="X258" s="3">
        <f t="shared" si="58"/>
        <v>25851</v>
      </c>
      <c r="Y258" s="3"/>
      <c r="Z258" s="20">
        <f t="shared" si="59"/>
        <v>8.6774325326347795E-2</v>
      </c>
    </row>
    <row r="259" spans="1:26" s="69" customFormat="1" ht="15" hidden="1" customHeight="1" outlineLevel="1" x14ac:dyDescent="0.3">
      <c r="A259" s="42"/>
      <c r="B259" s="12" t="str">
        <f>CONCATENATE("          ","9152"," - ","MISC. INCOME")</f>
        <v xml:space="preserve">          9152 - MISC. INCOME</v>
      </c>
      <c r="C259" s="12"/>
      <c r="D259" s="3">
        <f>--374.09</f>
        <v>374.09</v>
      </c>
      <c r="E259" s="3"/>
      <c r="F259" s="20">
        <f t="shared" si="52"/>
        <v>1.3928635160150279E-4</v>
      </c>
      <c r="G259" s="3"/>
      <c r="H259" s="3">
        <f>--81.19</f>
        <v>81.19</v>
      </c>
      <c r="I259" s="3"/>
      <c r="J259" s="20">
        <f t="shared" si="53"/>
        <v>1.4866414762205202E-4</v>
      </c>
      <c r="K259" s="3"/>
      <c r="L259" s="3">
        <f t="shared" si="54"/>
        <v>292.89999999999998</v>
      </c>
      <c r="M259" s="3"/>
      <c r="N259" s="20">
        <f t="shared" si="55"/>
        <v>3.6075871412735556</v>
      </c>
      <c r="O259" s="12"/>
      <c r="P259" s="3">
        <f>--3867.63</f>
        <v>3867.63</v>
      </c>
      <c r="Q259" s="3"/>
      <c r="R259" s="20">
        <f t="shared" si="56"/>
        <v>2.4718842239305908E-4</v>
      </c>
      <c r="S259" s="3"/>
      <c r="T259" s="3">
        <f>--3313.45</f>
        <v>3313.45</v>
      </c>
      <c r="U259" s="3"/>
      <c r="V259" s="20">
        <f t="shared" si="57"/>
        <v>4.6332976637441972E-4</v>
      </c>
      <c r="W259" s="3"/>
      <c r="X259" s="3">
        <f t="shared" si="58"/>
        <v>554.18000000000029</v>
      </c>
      <c r="Y259" s="3"/>
      <c r="Z259" s="20">
        <f t="shared" si="59"/>
        <v>0.16725165612880843</v>
      </c>
    </row>
    <row r="260" spans="1:26" s="69" customFormat="1" ht="15" hidden="1" customHeight="1" outlineLevel="1" x14ac:dyDescent="0.3">
      <c r="A260" s="42"/>
      <c r="B260" s="12" t="str">
        <f>CONCATENATE("          ","9160"," - ","MISC. INCOME")</f>
        <v xml:space="preserve">          9160 - MISC. INCOME</v>
      </c>
      <c r="C260" s="12"/>
      <c r="D260" s="3">
        <f>0</f>
        <v>0</v>
      </c>
      <c r="E260" s="3"/>
      <c r="F260" s="20">
        <f t="shared" si="52"/>
        <v>0</v>
      </c>
      <c r="G260" s="3"/>
      <c r="H260" s="3">
        <f>--364.79</f>
        <v>364.79</v>
      </c>
      <c r="I260" s="3"/>
      <c r="J260" s="20">
        <f t="shared" si="53"/>
        <v>6.6795411271152068E-4</v>
      </c>
      <c r="K260" s="3"/>
      <c r="L260" s="3">
        <f t="shared" si="54"/>
        <v>-364.79</v>
      </c>
      <c r="M260" s="3"/>
      <c r="N260" s="20">
        <f t="shared" si="55"/>
        <v>-1</v>
      </c>
      <c r="O260" s="12"/>
      <c r="P260" s="3">
        <f>0</f>
        <v>0</v>
      </c>
      <c r="Q260" s="3"/>
      <c r="R260" s="20">
        <f t="shared" si="56"/>
        <v>0</v>
      </c>
      <c r="S260" s="3"/>
      <c r="T260" s="3">
        <f>--12882.96</f>
        <v>12882.96</v>
      </c>
      <c r="U260" s="3"/>
      <c r="V260" s="20">
        <f t="shared" si="57"/>
        <v>1.8014633831839909E-3</v>
      </c>
      <c r="W260" s="3"/>
      <c r="X260" s="3">
        <f t="shared" si="58"/>
        <v>-12882.96</v>
      </c>
      <c r="Y260" s="3"/>
      <c r="Z260" s="20">
        <f t="shared" si="59"/>
        <v>-1</v>
      </c>
    </row>
    <row r="261" spans="1:26" s="69" customFormat="1" ht="15" hidden="1" customHeight="1" outlineLevel="1" x14ac:dyDescent="0.3">
      <c r="A261" s="42"/>
      <c r="B261" s="12" t="str">
        <f>CONCATENATE("          ","9163"," - ","MISC. INCOME")</f>
        <v xml:space="preserve">          9163 - MISC. INCOME</v>
      </c>
      <c r="C261" s="12"/>
      <c r="D261" s="3">
        <f>0</f>
        <v>0</v>
      </c>
      <c r="E261" s="3"/>
      <c r="F261" s="20">
        <f t="shared" si="52"/>
        <v>0</v>
      </c>
      <c r="G261" s="3"/>
      <c r="H261" s="3">
        <f>-3986.08</f>
        <v>-3986.08</v>
      </c>
      <c r="I261" s="3"/>
      <c r="J261" s="20">
        <f t="shared" si="53"/>
        <v>-7.2987706066425561E-3</v>
      </c>
      <c r="K261" s="3"/>
      <c r="L261" s="3">
        <f t="shared" si="54"/>
        <v>3986.08</v>
      </c>
      <c r="M261" s="3"/>
      <c r="N261" s="20">
        <f t="shared" si="55"/>
        <v>-1</v>
      </c>
      <c r="O261" s="12"/>
      <c r="P261" s="3">
        <f>--79775.7</f>
        <v>79775.7</v>
      </c>
      <c r="Q261" s="3"/>
      <c r="R261" s="20">
        <f t="shared" si="56"/>
        <v>5.0986338993910902E-3</v>
      </c>
      <c r="S261" s="3"/>
      <c r="T261" s="3">
        <f>--171419.76</f>
        <v>171419.76</v>
      </c>
      <c r="U261" s="3"/>
      <c r="V261" s="20">
        <f t="shared" si="57"/>
        <v>2.3970145121477347E-2</v>
      </c>
      <c r="W261" s="3"/>
      <c r="X261" s="3">
        <f t="shared" si="58"/>
        <v>-91644.060000000012</v>
      </c>
      <c r="Y261" s="3"/>
      <c r="Z261" s="20">
        <f t="shared" si="59"/>
        <v>-0.53461782935642899</v>
      </c>
    </row>
    <row r="262" spans="1:26" s="69" customFormat="1" ht="15" hidden="1" customHeight="1" outlineLevel="1" x14ac:dyDescent="0.3">
      <c r="A262" s="42"/>
      <c r="B262" s="12" t="str">
        <f>CONCATENATE("          ","9165"," - ","OTHER INCOME")</f>
        <v xml:space="preserve">          9165 - OTHER INCOME</v>
      </c>
      <c r="C262" s="12"/>
      <c r="D262" s="3">
        <f>0</f>
        <v>0</v>
      </c>
      <c r="E262" s="3"/>
      <c r="F262" s="20">
        <f t="shared" si="52"/>
        <v>0</v>
      </c>
      <c r="G262" s="3"/>
      <c r="H262" s="3">
        <f>--1036.09</f>
        <v>1036.0899999999999</v>
      </c>
      <c r="I262" s="3"/>
      <c r="J262" s="20">
        <f t="shared" si="53"/>
        <v>1.8971478840957244E-3</v>
      </c>
      <c r="K262" s="3"/>
      <c r="L262" s="3">
        <f t="shared" si="54"/>
        <v>-1036.0899999999999</v>
      </c>
      <c r="M262" s="3"/>
      <c r="N262" s="20">
        <f t="shared" si="55"/>
        <v>-1</v>
      </c>
      <c r="O262" s="12"/>
      <c r="P262" s="3">
        <f>0</f>
        <v>0</v>
      </c>
      <c r="Q262" s="3"/>
      <c r="R262" s="20">
        <f t="shared" si="56"/>
        <v>0</v>
      </c>
      <c r="S262" s="3"/>
      <c r="T262" s="3">
        <f>--3138.21</f>
        <v>3138.21</v>
      </c>
      <c r="U262" s="3"/>
      <c r="V262" s="20">
        <f t="shared" si="57"/>
        <v>4.3882542550328744E-4</v>
      </c>
      <c r="W262" s="3"/>
      <c r="X262" s="3">
        <f t="shared" si="58"/>
        <v>-3138.21</v>
      </c>
      <c r="Y262" s="3"/>
      <c r="Z262" s="20">
        <f t="shared" si="59"/>
        <v>-1</v>
      </c>
    </row>
    <row r="263" spans="1:26" ht="15" customHeight="1" x14ac:dyDescent="0.3">
      <c r="A263" s="10"/>
      <c r="B263" s="11"/>
      <c r="C263" s="11"/>
      <c r="D263" s="4"/>
      <c r="E263" s="4"/>
      <c r="F263" s="9"/>
      <c r="G263" s="4"/>
      <c r="H263" s="4"/>
      <c r="I263" s="4"/>
      <c r="J263" s="9"/>
      <c r="K263" s="4"/>
      <c r="L263" s="4"/>
      <c r="M263" s="4"/>
      <c r="N263" s="9"/>
      <c r="O263" s="11"/>
      <c r="P263" s="4"/>
      <c r="Q263" s="4"/>
      <c r="R263" s="9"/>
      <c r="S263" s="4"/>
      <c r="T263" s="4"/>
      <c r="U263" s="4"/>
      <c r="V263" s="9"/>
      <c r="W263" s="4"/>
      <c r="X263" s="4"/>
      <c r="Y263" s="4"/>
      <c r="Z263" s="9"/>
    </row>
    <row r="264" spans="1:26" s="62" customFormat="1" ht="15" customHeight="1" x14ac:dyDescent="0.3">
      <c r="A264" s="11"/>
      <c r="B264" s="28" t="s">
        <v>291</v>
      </c>
      <c r="C264" s="28"/>
      <c r="D264" s="23">
        <f>+D155-D157+D254</f>
        <v>777304.8900000006</v>
      </c>
      <c r="E264" s="15"/>
      <c r="F264" s="22">
        <f>IF(D$12=0,0,D264/D$12)</f>
        <v>0.28941688419927702</v>
      </c>
      <c r="G264" s="15"/>
      <c r="H264" s="23">
        <f>+H155-H157+H254</f>
        <v>-225248.68000000005</v>
      </c>
      <c r="I264" s="15"/>
      <c r="J264" s="22">
        <f>IF(H$12=0,0,H264/H$12)</f>
        <v>-0.41244491951216117</v>
      </c>
      <c r="K264" s="17"/>
      <c r="L264" s="23">
        <f>+D264-H264</f>
        <v>1002553.5700000006</v>
      </c>
      <c r="M264" s="17"/>
      <c r="N264" s="22">
        <f>IF(H264=0,0,L264/H264)</f>
        <v>-4.4508743403069015</v>
      </c>
      <c r="O264" s="27"/>
      <c r="P264" s="23">
        <f>+P155-P157+P254</f>
        <v>1837111.7399999984</v>
      </c>
      <c r="Q264" s="15"/>
      <c r="R264" s="22">
        <f>IF(P$12=0,0,P264/P$12)</f>
        <v>0.11741370109611501</v>
      </c>
      <c r="S264" s="15"/>
      <c r="T264" s="23">
        <f>+T155-T157+T254</f>
        <v>-2039873.6499999959</v>
      </c>
      <c r="U264" s="15"/>
      <c r="V264" s="22">
        <f>IF(T$12=0,0,T264/T$12)</f>
        <v>-0.28524172137434789</v>
      </c>
      <c r="W264" s="17"/>
      <c r="X264" s="23">
        <f>+P264-T264</f>
        <v>3876985.3899999941</v>
      </c>
      <c r="Y264" s="17"/>
      <c r="Z264" s="22">
        <f>IF(T264=0,0,X264/T264)</f>
        <v>-1.9006007504435394</v>
      </c>
    </row>
    <row r="265" spans="1:26" ht="15" customHeight="1" x14ac:dyDescent="0.3">
      <c r="A265" s="10"/>
      <c r="B265" s="11"/>
      <c r="C265" s="10"/>
      <c r="D265" s="4"/>
      <c r="E265" s="4"/>
      <c r="F265" s="9"/>
      <c r="G265" s="4"/>
      <c r="H265" s="4"/>
      <c r="I265" s="4"/>
      <c r="J265" s="9"/>
      <c r="K265" s="4"/>
      <c r="L265" s="4"/>
      <c r="M265" s="4"/>
      <c r="N265" s="9"/>
      <c r="P265" s="4"/>
      <c r="Q265" s="4"/>
      <c r="R265" s="9"/>
      <c r="S265" s="4"/>
      <c r="T265" s="4"/>
      <c r="U265" s="4"/>
      <c r="V265" s="9"/>
      <c r="W265" s="4"/>
      <c r="X265" s="4"/>
      <c r="Y265" s="4"/>
      <c r="Z265" s="9"/>
    </row>
    <row r="266" spans="1:26" s="62" customFormat="1" ht="15" customHeight="1" x14ac:dyDescent="0.3">
      <c r="A266" s="48"/>
      <c r="B266" s="11" t="s">
        <v>292</v>
      </c>
      <c r="C266" s="11"/>
      <c r="D266" s="5">
        <v>237459.55</v>
      </c>
      <c r="E266" s="5"/>
      <c r="F266" s="13">
        <f>IF(D$12=0,0,D266/D$12)</f>
        <v>8.8414216825990086E-2</v>
      </c>
      <c r="G266" s="5"/>
      <c r="H266" s="5">
        <v>217201.57</v>
      </c>
      <c r="I266" s="5"/>
      <c r="J266" s="13">
        <f>IF(H$12=0,0,H266/H$12)</f>
        <v>0.39771013999533772</v>
      </c>
      <c r="K266" s="5"/>
      <c r="L266" s="5">
        <f>+D266-H266</f>
        <v>20257.979999999981</v>
      </c>
      <c r="M266" s="5"/>
      <c r="N266" s="13">
        <f>IF(H266=0,0,L266/H266)</f>
        <v>9.3268110354819175E-2</v>
      </c>
      <c r="O266" s="11"/>
      <c r="P266" s="5">
        <v>1953036.6</v>
      </c>
      <c r="Q266" s="5"/>
      <c r="R266" s="13">
        <f>IF(P$12=0,0,P266/P$12)</f>
        <v>0.1248227043512187</v>
      </c>
      <c r="S266" s="5"/>
      <c r="T266" s="5">
        <v>1416230.23</v>
      </c>
      <c r="U266" s="5"/>
      <c r="V266" s="13">
        <f>IF(T$12=0,0,T266/T$12)</f>
        <v>0.19803576984662233</v>
      </c>
      <c r="W266" s="5"/>
      <c r="X266" s="5">
        <f>+P266-T266</f>
        <v>536806.37000000011</v>
      </c>
      <c r="Y266" s="5"/>
      <c r="Z266" s="13">
        <f>IF(T266=0,0,X266/T266)</f>
        <v>0.3790389151628264</v>
      </c>
    </row>
    <row r="267" spans="1:26" ht="15" customHeight="1" x14ac:dyDescent="0.3">
      <c r="A267" s="10"/>
      <c r="B267" s="11"/>
      <c r="C267" s="11"/>
      <c r="D267" s="4"/>
      <c r="E267" s="4"/>
      <c r="F267" s="9"/>
      <c r="G267" s="4"/>
      <c r="H267" s="4"/>
      <c r="I267" s="4"/>
      <c r="J267" s="9"/>
      <c r="K267" s="4"/>
      <c r="L267" s="4"/>
      <c r="M267" s="4"/>
      <c r="N267" s="9"/>
      <c r="O267" s="11"/>
      <c r="P267" s="4"/>
      <c r="Q267" s="4"/>
      <c r="R267" s="9"/>
      <c r="S267" s="4"/>
      <c r="T267" s="4"/>
      <c r="U267" s="4"/>
      <c r="V267" s="9"/>
      <c r="W267" s="4"/>
      <c r="X267" s="4"/>
      <c r="Y267" s="4"/>
      <c r="Z267" s="9"/>
    </row>
    <row r="268" spans="1:26" s="62" customFormat="1" ht="15" customHeight="1" x14ac:dyDescent="0.3">
      <c r="A268" s="11"/>
      <c r="B268" s="28" t="s">
        <v>293</v>
      </c>
      <c r="C268" s="28"/>
      <c r="D268" s="33">
        <f>+D264-D266</f>
        <v>539845.34000000055</v>
      </c>
      <c r="E268" s="15"/>
      <c r="F268" s="34">
        <f>IF(D$12=0,0,D268/D$12)</f>
        <v>0.2010026673732869</v>
      </c>
      <c r="G268" s="15"/>
      <c r="H268" s="33">
        <f>+H264-H266</f>
        <v>-442450.25000000006</v>
      </c>
      <c r="I268" s="15"/>
      <c r="J268" s="34">
        <f>IF(H$12=0,0,H268/H$12)</f>
        <v>-0.81015505950749889</v>
      </c>
      <c r="K268" s="17"/>
      <c r="L268" s="33">
        <f>D268-H268</f>
        <v>982295.59000000055</v>
      </c>
      <c r="M268" s="17"/>
      <c r="N268" s="34">
        <f>IF(H268=0,0,L268/H268)</f>
        <v>-2.220126647007207</v>
      </c>
      <c r="O268" s="27"/>
      <c r="P268" s="33">
        <f>+P264-P266</f>
        <v>-115924.86000000173</v>
      </c>
      <c r="Q268" s="15"/>
      <c r="R268" s="34">
        <f>IF(P$12=0,0,P268/P$12)</f>
        <v>-7.4090032551036846E-3</v>
      </c>
      <c r="S268" s="15"/>
      <c r="T268" s="33">
        <f>+T264-T266</f>
        <v>-3456103.8799999962</v>
      </c>
      <c r="U268" s="15"/>
      <c r="V268" s="34">
        <f>IF(T$12=0,0,T268/T$12)</f>
        <v>-0.48327749122097025</v>
      </c>
      <c r="W268" s="17"/>
      <c r="X268" s="33">
        <f>P268-T268</f>
        <v>3340179.0199999944</v>
      </c>
      <c r="Y268" s="17"/>
      <c r="Z268" s="34">
        <f>IF(T268=0,0,X268/T268)</f>
        <v>-0.96645793528636592</v>
      </c>
    </row>
    <row r="269" spans="1:26" ht="15" customHeight="1" x14ac:dyDescent="0.3">
      <c r="A269" s="10"/>
      <c r="B269" s="10"/>
      <c r="C269" s="10"/>
      <c r="D269" s="4"/>
      <c r="E269" s="4"/>
      <c r="F269" s="9"/>
      <c r="G269" s="4"/>
      <c r="H269" s="4"/>
      <c r="I269" s="4"/>
      <c r="J269" s="9"/>
      <c r="K269" s="4"/>
      <c r="L269" s="4"/>
      <c r="M269" s="4"/>
      <c r="N269" s="9"/>
      <c r="P269" s="4"/>
      <c r="Q269" s="4"/>
      <c r="R269" s="9"/>
      <c r="S269" s="4"/>
      <c r="T269" s="4"/>
      <c r="U269" s="4"/>
      <c r="V269" s="9"/>
      <c r="W269" s="4"/>
      <c r="X269" s="4"/>
      <c r="Y269" s="4"/>
      <c r="Z269" s="9"/>
    </row>
    <row r="270" spans="1:26" s="62" customFormat="1" ht="15" customHeight="1" x14ac:dyDescent="0.3">
      <c r="A270" s="48"/>
      <c r="B270" s="11" t="s">
        <v>294</v>
      </c>
      <c r="C270" s="11"/>
      <c r="D270" s="5">
        <f>-302139.84</f>
        <v>-302139.84000000003</v>
      </c>
      <c r="E270" s="5"/>
      <c r="F270" s="13">
        <f>IF(D$12=0,0,D270/D$12)</f>
        <v>-0.11249687504895026</v>
      </c>
      <c r="G270" s="5"/>
      <c r="H270" s="5">
        <f>--233369.99</f>
        <v>233369.99</v>
      </c>
      <c r="I270" s="5"/>
      <c r="J270" s="13">
        <f>IF(H$12=0,0,H270/H$12)</f>
        <v>0.42731556403395499</v>
      </c>
      <c r="K270" s="5"/>
      <c r="L270" s="5">
        <f>+D270-H270</f>
        <v>-535509.83000000007</v>
      </c>
      <c r="M270" s="5"/>
      <c r="N270" s="13">
        <f>IF(H270=0,0,L270/H270)</f>
        <v>-2.294681634086714</v>
      </c>
      <c r="O270" s="11"/>
      <c r="P270" s="5">
        <f>-916333.72</f>
        <v>-916333.72</v>
      </c>
      <c r="Q270" s="5"/>
      <c r="R270" s="13">
        <f>IF(P$12=0,0,P270/P$12)</f>
        <v>-5.8564828236507396E-2</v>
      </c>
      <c r="S270" s="5"/>
      <c r="T270" s="5">
        <f>--2191553.97</f>
        <v>2191553.9700000002</v>
      </c>
      <c r="U270" s="5"/>
      <c r="V270" s="13">
        <f>IF(T$12=0,0,T270/T$12)</f>
        <v>0.30645164071195652</v>
      </c>
      <c r="W270" s="5"/>
      <c r="X270" s="5">
        <f>+P270-T270</f>
        <v>-3107887.6900000004</v>
      </c>
      <c r="Y270" s="5"/>
      <c r="Z270" s="13">
        <f>IF(T270=0,0,X270/T270)</f>
        <v>-1.4181205357219655</v>
      </c>
    </row>
    <row r="271" spans="1:26" s="62" customFormat="1" ht="15" customHeight="1" x14ac:dyDescent="0.3">
      <c r="A271" s="48"/>
      <c r="B271" s="11" t="s">
        <v>295</v>
      </c>
      <c r="C271" s="11"/>
      <c r="D271" s="5">
        <f>--9329.2</f>
        <v>9329.2000000000007</v>
      </c>
      <c r="E271" s="5"/>
      <c r="F271" s="13">
        <f>IF(D$12=0,0,D271/D$12)</f>
        <v>3.4735764959254187E-3</v>
      </c>
      <c r="G271" s="5"/>
      <c r="H271" s="5">
        <f>--12479.26</f>
        <v>12479.26</v>
      </c>
      <c r="I271" s="5"/>
      <c r="J271" s="13">
        <f>IF(H$12=0,0,H271/H$12)</f>
        <v>2.285033317962765E-2</v>
      </c>
      <c r="K271" s="5"/>
      <c r="L271" s="5">
        <f>+D271-H271</f>
        <v>-3150.0599999999995</v>
      </c>
      <c r="M271" s="5"/>
      <c r="N271" s="13">
        <f>IF(H271=0,0,L271/H271)</f>
        <v>-0.25242362127241513</v>
      </c>
      <c r="O271" s="11"/>
      <c r="P271" s="5">
        <f>--2318939.64</f>
        <v>2318939.64</v>
      </c>
      <c r="Q271" s="5"/>
      <c r="R271" s="13">
        <f>IF(P$12=0,0,P271/P$12)</f>
        <v>0.14820834237926803</v>
      </c>
      <c r="S271" s="5"/>
      <c r="T271" s="5">
        <f>--67055.26</f>
        <v>67055.259999999995</v>
      </c>
      <c r="U271" s="5"/>
      <c r="V271" s="13">
        <f>IF(T$12=0,0,T271/T$12)</f>
        <v>9.3765404487697029E-3</v>
      </c>
      <c r="W271" s="5"/>
      <c r="X271" s="5">
        <f>+P271-T271</f>
        <v>2251884.3800000004</v>
      </c>
      <c r="Y271" s="5"/>
      <c r="Z271" s="13">
        <f>IF(T271=0,0,X271/T271)</f>
        <v>33.582516569169975</v>
      </c>
    </row>
    <row r="272" spans="1:26" ht="15" customHeight="1" x14ac:dyDescent="0.3">
      <c r="A272" s="10"/>
      <c r="B272" s="10"/>
      <c r="C272" s="10"/>
      <c r="D272" s="4"/>
      <c r="E272" s="4"/>
      <c r="F272" s="9"/>
      <c r="G272" s="4"/>
      <c r="H272" s="4"/>
      <c r="I272" s="4"/>
      <c r="J272" s="9"/>
      <c r="K272" s="4"/>
      <c r="L272" s="4"/>
      <c r="M272" s="4"/>
      <c r="N272" s="9"/>
      <c r="P272" s="4"/>
      <c r="Q272" s="4"/>
      <c r="R272" s="9"/>
      <c r="S272" s="4"/>
      <c r="T272" s="4"/>
      <c r="U272" s="4"/>
      <c r="V272" s="9"/>
      <c r="W272" s="4"/>
      <c r="X272" s="4"/>
      <c r="Y272" s="4"/>
      <c r="Z272" s="9"/>
    </row>
    <row r="273" spans="1:26" s="62" customFormat="1" ht="15" customHeight="1" x14ac:dyDescent="0.3">
      <c r="A273" s="11"/>
      <c r="B273" s="28" t="s">
        <v>296</v>
      </c>
      <c r="C273" s="28"/>
      <c r="D273" s="35">
        <f>SUM(D268:D272)</f>
        <v>247034.70000000054</v>
      </c>
      <c r="E273" s="15"/>
      <c r="F273" s="29">
        <f>IF(D$12=0,0,D273/D$12)</f>
        <v>9.1979368820262072E-2</v>
      </c>
      <c r="G273" s="15"/>
      <c r="H273" s="35">
        <f>SUM(H268:H272)</f>
        <v>-196601.00000000006</v>
      </c>
      <c r="I273" s="15"/>
      <c r="J273" s="29">
        <f>IF(H$12=0,0,H273/H$12)</f>
        <v>-0.35998916229391625</v>
      </c>
      <c r="K273" s="17"/>
      <c r="L273" s="35">
        <f>+D273-H273</f>
        <v>443635.70000000059</v>
      </c>
      <c r="M273" s="17"/>
      <c r="N273" s="29">
        <f>IF(H273=0,0,L273/H273)</f>
        <v>-2.2565281967029693</v>
      </c>
      <c r="O273" s="27"/>
      <c r="P273" s="35">
        <f>SUM(P268:P272)</f>
        <v>1286681.0599999984</v>
      </c>
      <c r="Q273" s="15"/>
      <c r="R273" s="29">
        <f>IF(P$12=0,0,P273/P$12)</f>
        <v>8.2234510887656931E-2</v>
      </c>
      <c r="S273" s="15"/>
      <c r="T273" s="35">
        <f>SUM(T268:T272)</f>
        <v>-1197494.6499999959</v>
      </c>
      <c r="U273" s="15"/>
      <c r="V273" s="29">
        <f>IF(T$12=0,0,T273/T$12)</f>
        <v>-0.16744931006024405</v>
      </c>
      <c r="W273" s="17"/>
      <c r="X273" s="35">
        <f>+P273-T273</f>
        <v>2484175.7099999944</v>
      </c>
      <c r="Y273" s="17"/>
      <c r="Z273" s="29">
        <f>IF(T273=0,0,X273/T273)</f>
        <v>-2.0744775018410335</v>
      </c>
    </row>
    <row r="274" spans="1:26" ht="15" customHeight="1" x14ac:dyDescent="0.3">
      <c r="A274" s="10"/>
      <c r="C274" s="10"/>
      <c r="D274" s="18"/>
      <c r="E274" s="18"/>
      <c r="G274" s="18"/>
      <c r="H274" s="18"/>
      <c r="I274" s="18"/>
      <c r="J274" s="41"/>
      <c r="K274" s="18"/>
      <c r="L274" s="18"/>
      <c r="M274" s="18"/>
      <c r="P274" s="18"/>
      <c r="Q274" s="18"/>
      <c r="R274" s="41"/>
      <c r="S274" s="18"/>
      <c r="T274" s="18"/>
      <c r="U274" s="18"/>
      <c r="V274" s="41"/>
      <c r="W274" s="18"/>
      <c r="X274" s="18"/>
    </row>
    <row r="275" spans="1:26" ht="15" customHeight="1" x14ac:dyDescent="0.3">
      <c r="A275" s="10"/>
      <c r="B275" s="50">
        <v>44634.887729895832</v>
      </c>
      <c r="D275" s="18"/>
      <c r="E275" s="18"/>
      <c r="G275" s="18"/>
      <c r="H275" s="18"/>
      <c r="I275" s="18"/>
      <c r="J275" s="41"/>
      <c r="K275" s="18"/>
      <c r="L275" s="18"/>
      <c r="M275" s="18"/>
      <c r="P275" s="18"/>
      <c r="Q275" s="18"/>
      <c r="R275" s="41"/>
      <c r="S275" s="18"/>
      <c r="T275" s="18"/>
      <c r="U275" s="18"/>
      <c r="V275" s="41"/>
      <c r="W275" s="18"/>
      <c r="X275" s="18"/>
    </row>
    <row r="276" spans="1:26" ht="15" customHeight="1" x14ac:dyDescent="0.3">
      <c r="A276" s="10"/>
      <c r="B276" s="58" t="s">
        <v>297</v>
      </c>
      <c r="D276" s="18"/>
      <c r="E276" s="18"/>
      <c r="G276" s="18"/>
      <c r="H276" s="18"/>
      <c r="I276" s="18"/>
      <c r="J276" s="41"/>
      <c r="K276" s="18"/>
      <c r="L276" s="18"/>
      <c r="M276" s="18"/>
      <c r="P276" s="18"/>
      <c r="Q276" s="18"/>
      <c r="R276" s="41"/>
      <c r="S276" s="18"/>
      <c r="T276" s="18"/>
      <c r="U276" s="18"/>
      <c r="V276" s="41"/>
      <c r="W276" s="18"/>
      <c r="X276" s="18"/>
    </row>
    <row r="277" spans="1:26" ht="15" customHeight="1" x14ac:dyDescent="0.3">
      <c r="A277" s="10"/>
      <c r="B277" s="56"/>
      <c r="D277" s="18"/>
      <c r="E277" s="18"/>
      <c r="G277" s="18"/>
      <c r="H277" s="18"/>
      <c r="I277" s="18"/>
      <c r="J277" s="41"/>
      <c r="K277" s="18"/>
      <c r="L277" s="18"/>
      <c r="M277" s="18"/>
      <c r="P277" s="18"/>
      <c r="Q277" s="18"/>
      <c r="R277" s="41"/>
      <c r="S277" s="18"/>
      <c r="T277" s="18"/>
      <c r="U277" s="18"/>
      <c r="V277" s="41"/>
      <c r="W277" s="18"/>
      <c r="X277" s="18"/>
    </row>
    <row r="278" spans="1:26" ht="15" customHeight="1" x14ac:dyDescent="0.3">
      <c r="D278" s="18"/>
      <c r="E278" s="18"/>
      <c r="G278" s="18"/>
      <c r="H278" s="18"/>
      <c r="I278" s="18"/>
      <c r="J278" s="41"/>
      <c r="K278" s="18"/>
      <c r="L278" s="18"/>
      <c r="M278" s="18"/>
      <c r="P278" s="18"/>
      <c r="Q278" s="18"/>
      <c r="R278" s="41"/>
      <c r="S278" s="18"/>
      <c r="T278" s="18"/>
      <c r="U278" s="18"/>
      <c r="V278" s="41"/>
      <c r="W278" s="18"/>
      <c r="X278" s="18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91DFB-080F-AA5E-9DE8-6D1C3826AB57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3E5D1-671A-0294-8949-E35126DD5BB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5A67E-4283-1CA3-9D4D-A0F63259E01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BD61-3D5C-0AD6-630C-537F294FD98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92318-1C03-1D8C-9CA4-94CB7590CAF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F0B2-8D58-E7EC-9339-D3E2B75547E1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92E32-3E9F-6C36-18E7-977D6A36E6D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58BE-B773-5013-D58B-260B0A16F50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314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A4585-1844-FFE1-DD53-45C2B3A3614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314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8D726-5EEC-957C-5208-88AFAC537DE2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","100"," - ","Corporate")</f>
        <v>Department 100 - Corporate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5"/>
      <c r="L18" s="21">
        <f>+D18-H18</f>
        <v>0</v>
      </c>
      <c r="M18" s="5"/>
      <c r="N18" s="30">
        <f>IF(H18=0,0,L18/H18)</f>
        <v>0</v>
      </c>
      <c r="O18" s="11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5"/>
      <c r="X18" s="21">
        <f>+P18-T18</f>
        <v>0</v>
      </c>
      <c r="Y18" s="5"/>
      <c r="Z18" s="30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291</v>
      </c>
      <c r="C22" s="28"/>
      <c r="D22" s="23">
        <f>+D16-D18+D20</f>
        <v>0</v>
      </c>
      <c r="E22" s="15"/>
      <c r="F22" s="22">
        <f>IF(D$12=0,0,D22/D$12)</f>
        <v>0</v>
      </c>
      <c r="G22" s="15"/>
      <c r="H22" s="23">
        <f>+H16-H18+H20</f>
        <v>0</v>
      </c>
      <c r="I22" s="15"/>
      <c r="J22" s="22">
        <f>IF(H$12=0,0,H22/H$12)</f>
        <v>0</v>
      </c>
      <c r="K22" s="17"/>
      <c r="L22" s="23">
        <f>+D22-H22</f>
        <v>0</v>
      </c>
      <c r="M22" s="17"/>
      <c r="N22" s="22">
        <f>IF(H22=0,0,L22/H22)</f>
        <v>0</v>
      </c>
      <c r="O22" s="27"/>
      <c r="P22" s="23">
        <f>+P16-P18+P20</f>
        <v>0</v>
      </c>
      <c r="Q22" s="15"/>
      <c r="R22" s="22">
        <f>IF(P$12=0,0,P22/P$12)</f>
        <v>0</v>
      </c>
      <c r="S22" s="15"/>
      <c r="T22" s="23">
        <f>+T16-T18+T20</f>
        <v>0</v>
      </c>
      <c r="U22" s="15"/>
      <c r="V22" s="22">
        <f>IF(T$12=0,0,T22/T$12)</f>
        <v>0</v>
      </c>
      <c r="W22" s="17"/>
      <c r="X22" s="23">
        <f>+P22-T22</f>
        <v>0</v>
      </c>
      <c r="Y22" s="17"/>
      <c r="Z22" s="22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8" t="s">
        <v>293</v>
      </c>
      <c r="C26" s="28"/>
      <c r="D26" s="33">
        <f>+D22-D24</f>
        <v>0</v>
      </c>
      <c r="E26" s="15"/>
      <c r="F26" s="34">
        <f>IF(D$12=0,0,D26/D$12)</f>
        <v>0</v>
      </c>
      <c r="G26" s="15"/>
      <c r="H26" s="33">
        <f>+H22-H24</f>
        <v>0</v>
      </c>
      <c r="I26" s="15"/>
      <c r="J26" s="34">
        <f>IF(H$12=0,0,H26/H$12)</f>
        <v>0</v>
      </c>
      <c r="K26" s="17"/>
      <c r="L26" s="33">
        <f>D26-H26</f>
        <v>0</v>
      </c>
      <c r="M26" s="17"/>
      <c r="N26" s="34">
        <f>IF(H26=0,0,L26/H26)</f>
        <v>0</v>
      </c>
      <c r="O26" s="27"/>
      <c r="P26" s="33">
        <f>+P22-P24</f>
        <v>0</v>
      </c>
      <c r="Q26" s="15"/>
      <c r="R26" s="34">
        <f>IF(P$12=0,0,P26/P$12)</f>
        <v>0</v>
      </c>
      <c r="S26" s="15"/>
      <c r="T26" s="33">
        <f>+T22-T24</f>
        <v>0</v>
      </c>
      <c r="U26" s="15"/>
      <c r="V26" s="34">
        <f>IF(T$12=0,0,T26/T$12)</f>
        <v>0</v>
      </c>
      <c r="W26" s="17"/>
      <c r="X26" s="33">
        <f>P26-T26</f>
        <v>0</v>
      </c>
      <c r="Y26" s="17"/>
      <c r="Z26" s="34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-302139.84</f>
        <v>-302139.84000000003</v>
      </c>
      <c r="E28" s="5"/>
      <c r="F28" s="13">
        <f>IF(D$12=0,0,D28/D$12)</f>
        <v>0</v>
      </c>
      <c r="G28" s="5"/>
      <c r="H28" s="5">
        <f>--233369.99</f>
        <v>233369.99</v>
      </c>
      <c r="I28" s="5"/>
      <c r="J28" s="13">
        <f>IF(H$12=0,0,H28/H$12)</f>
        <v>0</v>
      </c>
      <c r="K28" s="5"/>
      <c r="L28" s="5">
        <f>+D28-H28</f>
        <v>-535509.83000000007</v>
      </c>
      <c r="M28" s="5"/>
      <c r="N28" s="13">
        <f>IF(H28=0,0,L28/H28)</f>
        <v>-2.294681634086714</v>
      </c>
      <c r="O28" s="11"/>
      <c r="P28" s="5">
        <f>-916333.72</f>
        <v>-916333.72</v>
      </c>
      <c r="Q28" s="5"/>
      <c r="R28" s="13">
        <f>IF(P$12=0,0,P28/P$12)</f>
        <v>0</v>
      </c>
      <c r="S28" s="5"/>
      <c r="T28" s="5">
        <f>--2191553.97</f>
        <v>2191553.9700000002</v>
      </c>
      <c r="U28" s="5"/>
      <c r="V28" s="13">
        <f>IF(T$12=0,0,T28/T$12)</f>
        <v>0</v>
      </c>
      <c r="W28" s="5"/>
      <c r="X28" s="5">
        <f>+P28-T28</f>
        <v>-3107887.6900000004</v>
      </c>
      <c r="Y28" s="5"/>
      <c r="Z28" s="13">
        <f>IF(T28=0,0,X28/T28)</f>
        <v>-1.4181205357219655</v>
      </c>
    </row>
    <row r="29" spans="1:26" s="62" customFormat="1" ht="15" customHeight="1" x14ac:dyDescent="0.3">
      <c r="A29" s="48"/>
      <c r="B29" s="11" t="s">
        <v>295</v>
      </c>
      <c r="C29" s="11"/>
      <c r="D29" s="5">
        <f>--9329.2</f>
        <v>9329.2000000000007</v>
      </c>
      <c r="E29" s="5"/>
      <c r="F29" s="13">
        <f>IF(D$12=0,0,D29/D$12)</f>
        <v>0</v>
      </c>
      <c r="G29" s="5"/>
      <c r="H29" s="5">
        <f>--12479.26</f>
        <v>12479.26</v>
      </c>
      <c r="I29" s="5"/>
      <c r="J29" s="13">
        <f>IF(H$12=0,0,H29/H$12)</f>
        <v>0</v>
      </c>
      <c r="K29" s="5"/>
      <c r="L29" s="5">
        <f>+D29-H29</f>
        <v>-3150.0599999999995</v>
      </c>
      <c r="M29" s="5"/>
      <c r="N29" s="13">
        <f>IF(H29=0,0,L29/H29)</f>
        <v>-0.25242362127241513</v>
      </c>
      <c r="O29" s="11"/>
      <c r="P29" s="5">
        <f>--2318939.64</f>
        <v>2318939.64</v>
      </c>
      <c r="Q29" s="5"/>
      <c r="R29" s="13">
        <f>IF(P$12=0,0,P29/P$12)</f>
        <v>0</v>
      </c>
      <c r="S29" s="5"/>
      <c r="T29" s="5">
        <f>--67055.26</f>
        <v>67055.259999999995</v>
      </c>
      <c r="U29" s="5"/>
      <c r="V29" s="13">
        <f>IF(T$12=0,0,T29/T$12)</f>
        <v>0</v>
      </c>
      <c r="W29" s="5"/>
      <c r="X29" s="5">
        <f>+P29-T29</f>
        <v>2251884.3800000004</v>
      </c>
      <c r="Y29" s="5"/>
      <c r="Z29" s="13">
        <f>IF(T29=0,0,X29/T29)</f>
        <v>33.582516569169975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35">
        <f>SUM(D26:D30)</f>
        <v>-292810.64</v>
      </c>
      <c r="E31" s="15"/>
      <c r="F31" s="29">
        <f>IF(D$12=0,0,D31/D$12)</f>
        <v>0</v>
      </c>
      <c r="G31" s="15"/>
      <c r="H31" s="35">
        <f>SUM(H26:H30)</f>
        <v>245849.25</v>
      </c>
      <c r="I31" s="15"/>
      <c r="J31" s="29">
        <f>IF(H$12=0,0,H31/H$12)</f>
        <v>0</v>
      </c>
      <c r="K31" s="17"/>
      <c r="L31" s="35">
        <f>+D31-H31</f>
        <v>-538659.89</v>
      </c>
      <c r="M31" s="17"/>
      <c r="N31" s="29">
        <f>IF(H31=0,0,L31/H31)</f>
        <v>-2.1910170155084874</v>
      </c>
      <c r="O31" s="27"/>
      <c r="P31" s="35">
        <f>SUM(P26:P30)</f>
        <v>1402605.9200000002</v>
      </c>
      <c r="Q31" s="15"/>
      <c r="R31" s="29">
        <f>IF(P$12=0,0,P31/P$12)</f>
        <v>0</v>
      </c>
      <c r="S31" s="15"/>
      <c r="T31" s="35">
        <f>SUM(T26:T30)</f>
        <v>2258609.23</v>
      </c>
      <c r="U31" s="15"/>
      <c r="V31" s="29">
        <f>IF(T$12=0,0,T31/T$12)</f>
        <v>0</v>
      </c>
      <c r="W31" s="17"/>
      <c r="X31" s="35">
        <f>+P31-T31</f>
        <v>-856003.30999999982</v>
      </c>
      <c r="Y31" s="17"/>
      <c r="Z31" s="29">
        <f>IF(T31=0,0,X31/T31)</f>
        <v>-0.3789957548344916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3">
      <c r="A33" s="10"/>
      <c r="B33" s="50">
        <v>44634.887810300927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3">
      <c r="A34" s="10"/>
      <c r="B34" s="58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3">
      <c r="A35" s="10"/>
      <c r="B35" s="56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19AE2-90CD-3B21-D89C-B46E75A54445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278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0C0C6-FEDF-54A2-0949-CE6F4E7E921E}">
  <sheetPr>
    <tabColor rgb="FFFFC000"/>
    <outlinePr summaryBelow="0" summaryRight="0"/>
  </sheetPr>
  <dimension ref="A2:Z102"/>
  <sheetViews>
    <sheetView showGridLines="0" defaultGridColor="0" colorId="8" zoomScale="80" workbookViewId="0">
      <pane xSplit="3" ySplit="10" topLeftCell="D7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237459.55000000005</v>
      </c>
      <c r="E18" s="21"/>
      <c r="F18" s="30">
        <f t="shared" ref="F18:F49" si="0">IF(D$12=0,0,D18/D$12)</f>
        <v>0</v>
      </c>
      <c r="G18" s="21"/>
      <c r="H18" s="21" cm="1">
        <f t="array" ref="H18">SUM(OSRRefH22x_0)</f>
        <v>217201.57</v>
      </c>
      <c r="I18" s="21"/>
      <c r="J18" s="30">
        <f t="shared" ref="J18:J49" si="1">IF(H$12=0,0,H18/H$12)</f>
        <v>0</v>
      </c>
      <c r="K18" s="5"/>
      <c r="L18" s="21">
        <f t="shared" ref="L18:L49" si="2">+D18-H18</f>
        <v>20257.98000000004</v>
      </c>
      <c r="M18" s="5"/>
      <c r="N18" s="30">
        <f t="shared" ref="N18:N49" si="3">IF(H18=0,0,L18/H18)</f>
        <v>9.3268110354819439E-2</v>
      </c>
      <c r="O18" s="11"/>
      <c r="P18" s="21" cm="1">
        <f t="array" ref="P18">SUM(OSRRefP22x_0)</f>
        <v>1953036.5999999999</v>
      </c>
      <c r="Q18" s="21"/>
      <c r="R18" s="30">
        <f t="shared" ref="R18:R49" si="4">IF(P$12=0,0,P18/P$12)</f>
        <v>0</v>
      </c>
      <c r="S18" s="21"/>
      <c r="T18" s="21" cm="1">
        <f t="array" ref="T18">SUM(OSRRefT22x_0)</f>
        <v>1416230.2300000004</v>
      </c>
      <c r="U18" s="21"/>
      <c r="V18" s="30">
        <f t="shared" ref="V18:V49" si="5">IF(T$12=0,0,T18/T$12)</f>
        <v>0</v>
      </c>
      <c r="W18" s="5"/>
      <c r="X18" s="21">
        <f t="shared" ref="X18:X49" si="6">+P18-T18</f>
        <v>536806.36999999941</v>
      </c>
      <c r="Y18" s="5"/>
      <c r="Z18" s="30">
        <f t="shared" ref="Z18:Z49" si="7">IF(T18=0,0,X18/T18)</f>
        <v>0.37903891516282578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78263.73000000001</v>
      </c>
      <c r="E19" s="2"/>
      <c r="F19" s="6">
        <f t="shared" si="0"/>
        <v>0</v>
      </c>
      <c r="G19" s="2"/>
      <c r="H19" s="2">
        <f>SUM(OSRRefH22_0x_0)</f>
        <v>76673.930000000008</v>
      </c>
      <c r="I19" s="2"/>
      <c r="J19" s="6">
        <f t="shared" si="1"/>
        <v>0</v>
      </c>
      <c r="K19" s="2"/>
      <c r="L19" s="2">
        <f t="shared" si="2"/>
        <v>1589.8000000000029</v>
      </c>
      <c r="M19" s="2"/>
      <c r="N19" s="6">
        <f t="shared" si="3"/>
        <v>2.0734557365195742E-2</v>
      </c>
      <c r="O19" s="14"/>
      <c r="P19" s="2">
        <f>SUM(OSRRefP22_0x_0)</f>
        <v>695915.52999999991</v>
      </c>
      <c r="Q19" s="2"/>
      <c r="R19" s="6">
        <f t="shared" si="4"/>
        <v>0</v>
      </c>
      <c r="S19" s="2"/>
      <c r="T19" s="2">
        <f>SUM(OSRRefT22_0x_0)</f>
        <v>261991.30999999994</v>
      </c>
      <c r="U19" s="2"/>
      <c r="V19" s="6">
        <f t="shared" si="5"/>
        <v>0</v>
      </c>
      <c r="W19" s="2"/>
      <c r="X19" s="2">
        <f t="shared" si="6"/>
        <v>433924.22</v>
      </c>
      <c r="Y19" s="2"/>
      <c r="Z19" s="6">
        <f t="shared" si="7"/>
        <v>1.6562542475168358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7935.49</v>
      </c>
      <c r="E20" s="3"/>
      <c r="F20" s="7">
        <f t="shared" si="0"/>
        <v>0</v>
      </c>
      <c r="G20" s="3"/>
      <c r="H20" s="8">
        <v>7078.51</v>
      </c>
      <c r="I20" s="3"/>
      <c r="J20" s="7">
        <f t="shared" si="1"/>
        <v>0</v>
      </c>
      <c r="K20" s="3"/>
      <c r="L20" s="8">
        <f t="shared" si="2"/>
        <v>856.97999999999956</v>
      </c>
      <c r="M20" s="3"/>
      <c r="N20" s="7">
        <f t="shared" si="3"/>
        <v>0.12106785185017745</v>
      </c>
      <c r="O20" s="12"/>
      <c r="P20" s="8">
        <v>65068.57</v>
      </c>
      <c r="Q20" s="3"/>
      <c r="R20" s="7">
        <f t="shared" si="4"/>
        <v>0</v>
      </c>
      <c r="S20" s="3"/>
      <c r="T20" s="8">
        <v>61914.32</v>
      </c>
      <c r="U20" s="3"/>
      <c r="V20" s="7">
        <f t="shared" si="5"/>
        <v>0</v>
      </c>
      <c r="W20" s="3"/>
      <c r="X20" s="8">
        <f t="shared" si="6"/>
        <v>3154.25</v>
      </c>
      <c r="Y20" s="3"/>
      <c r="Z20" s="7">
        <f t="shared" si="7"/>
        <v>5.0945403260505812E-2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1526.42</v>
      </c>
      <c r="E21" s="3"/>
      <c r="F21" s="7">
        <f t="shared" si="0"/>
        <v>0</v>
      </c>
      <c r="G21" s="3"/>
      <c r="H21" s="8">
        <v>585.79999999999995</v>
      </c>
      <c r="I21" s="3"/>
      <c r="J21" s="7">
        <f t="shared" si="1"/>
        <v>0</v>
      </c>
      <c r="K21" s="3"/>
      <c r="L21" s="8">
        <f t="shared" si="2"/>
        <v>940.62000000000012</v>
      </c>
      <c r="M21" s="3"/>
      <c r="N21" s="7">
        <f t="shared" si="3"/>
        <v>1.6057016046432233</v>
      </c>
      <c r="O21" s="12"/>
      <c r="P21" s="8">
        <v>13059.8</v>
      </c>
      <c r="Q21" s="3"/>
      <c r="R21" s="7">
        <f t="shared" si="4"/>
        <v>0</v>
      </c>
      <c r="S21" s="3"/>
      <c r="T21" s="8">
        <v>5302.78</v>
      </c>
      <c r="U21" s="3"/>
      <c r="V21" s="7">
        <f t="shared" si="5"/>
        <v>0</v>
      </c>
      <c r="W21" s="3"/>
      <c r="X21" s="8">
        <f t="shared" si="6"/>
        <v>7757.0199999999995</v>
      </c>
      <c r="Y21" s="3"/>
      <c r="Z21" s="7">
        <f t="shared" si="7"/>
        <v>1.4628213880266576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20065.64</v>
      </c>
      <c r="E22" s="3"/>
      <c r="F22" s="7">
        <f t="shared" si="0"/>
        <v>0</v>
      </c>
      <c r="G22" s="3"/>
      <c r="H22" s="8">
        <v>22431.15</v>
      </c>
      <c r="I22" s="3"/>
      <c r="J22" s="7">
        <f t="shared" si="1"/>
        <v>0</v>
      </c>
      <c r="K22" s="3"/>
      <c r="L22" s="8">
        <f t="shared" si="2"/>
        <v>-2365.510000000002</v>
      </c>
      <c r="M22" s="3"/>
      <c r="N22" s="7">
        <f t="shared" si="3"/>
        <v>-0.10545647459002333</v>
      </c>
      <c r="O22" s="12"/>
      <c r="P22" s="8">
        <v>174928.02</v>
      </c>
      <c r="Q22" s="3"/>
      <c r="R22" s="7">
        <f t="shared" si="4"/>
        <v>0</v>
      </c>
      <c r="S22" s="3"/>
      <c r="T22" s="8">
        <v>182830.07999999999</v>
      </c>
      <c r="U22" s="3"/>
      <c r="V22" s="7">
        <f t="shared" si="5"/>
        <v>0</v>
      </c>
      <c r="W22" s="3"/>
      <c r="X22" s="8">
        <f t="shared" si="6"/>
        <v>-7902.0599999999977</v>
      </c>
      <c r="Y22" s="3"/>
      <c r="Z22" s="7">
        <f t="shared" si="7"/>
        <v>-4.3220787301520618E-2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269.38</v>
      </c>
      <c r="E23" s="3"/>
      <c r="F23" s="7">
        <f t="shared" si="0"/>
        <v>0</v>
      </c>
      <c r="G23" s="3"/>
      <c r="H23" s="8">
        <v>242.45</v>
      </c>
      <c r="I23" s="3"/>
      <c r="J23" s="7">
        <f t="shared" si="1"/>
        <v>0</v>
      </c>
      <c r="K23" s="3"/>
      <c r="L23" s="8">
        <f t="shared" si="2"/>
        <v>26.930000000000007</v>
      </c>
      <c r="M23" s="3"/>
      <c r="N23" s="7">
        <f t="shared" si="3"/>
        <v>0.11107444833986392</v>
      </c>
      <c r="O23" s="12"/>
      <c r="P23" s="8">
        <v>2316.91</v>
      </c>
      <c r="Q23" s="3"/>
      <c r="R23" s="7">
        <f t="shared" si="4"/>
        <v>0</v>
      </c>
      <c r="S23" s="3"/>
      <c r="T23" s="8">
        <v>2301.36</v>
      </c>
      <c r="U23" s="3"/>
      <c r="V23" s="7">
        <f t="shared" si="5"/>
        <v>0</v>
      </c>
      <c r="W23" s="3"/>
      <c r="X23" s="8">
        <f t="shared" si="6"/>
        <v>15.549999999999727</v>
      </c>
      <c r="Y23" s="3"/>
      <c r="Z23" s="7">
        <f t="shared" si="7"/>
        <v>6.7568741961273882E-3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8103.29</v>
      </c>
      <c r="E24" s="3"/>
      <c r="F24" s="7">
        <f t="shared" si="0"/>
        <v>0</v>
      </c>
      <c r="G24" s="3"/>
      <c r="H24" s="8">
        <v>7812.41</v>
      </c>
      <c r="I24" s="3"/>
      <c r="J24" s="7">
        <f t="shared" si="1"/>
        <v>0</v>
      </c>
      <c r="K24" s="3"/>
      <c r="L24" s="8">
        <f t="shared" si="2"/>
        <v>290.88000000000011</v>
      </c>
      <c r="M24" s="3"/>
      <c r="N24" s="7">
        <f t="shared" si="3"/>
        <v>3.7233068924954031E-2</v>
      </c>
      <c r="O24" s="12"/>
      <c r="P24" s="8">
        <v>65423.94</v>
      </c>
      <c r="Q24" s="3"/>
      <c r="R24" s="7">
        <f t="shared" si="4"/>
        <v>0</v>
      </c>
      <c r="S24" s="3"/>
      <c r="T24" s="8">
        <v>74563.149999999994</v>
      </c>
      <c r="U24" s="3"/>
      <c r="V24" s="7">
        <f t="shared" si="5"/>
        <v>0</v>
      </c>
      <c r="W24" s="3"/>
      <c r="X24" s="8">
        <f t="shared" si="6"/>
        <v>-9139.2099999999919</v>
      </c>
      <c r="Y24" s="3"/>
      <c r="Z24" s="7">
        <f t="shared" si="7"/>
        <v>-0.12257006309416907</v>
      </c>
    </row>
    <row r="25" spans="1:26" s="69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2636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2636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680.31</v>
      </c>
      <c r="E26" s="3"/>
      <c r="F26" s="7">
        <f t="shared" si="0"/>
        <v>0</v>
      </c>
      <c r="G26" s="3"/>
      <c r="H26" s="8">
        <v>532.74</v>
      </c>
      <c r="I26" s="3"/>
      <c r="J26" s="7">
        <f t="shared" si="1"/>
        <v>0</v>
      </c>
      <c r="K26" s="3"/>
      <c r="L26" s="8">
        <f t="shared" si="2"/>
        <v>147.56999999999994</v>
      </c>
      <c r="M26" s="3"/>
      <c r="N26" s="7">
        <f t="shared" si="3"/>
        <v>0.27700191463002577</v>
      </c>
      <c r="O26" s="12"/>
      <c r="P26" s="8">
        <v>8642.59</v>
      </c>
      <c r="Q26" s="3"/>
      <c r="R26" s="7">
        <f t="shared" si="4"/>
        <v>0</v>
      </c>
      <c r="S26" s="3"/>
      <c r="T26" s="8">
        <v>5776.86</v>
      </c>
      <c r="U26" s="3"/>
      <c r="V26" s="7">
        <f t="shared" si="5"/>
        <v>0</v>
      </c>
      <c r="W26" s="3"/>
      <c r="X26" s="8">
        <f t="shared" si="6"/>
        <v>2865.7300000000005</v>
      </c>
      <c r="Y26" s="3"/>
      <c r="Z26" s="7">
        <f t="shared" si="7"/>
        <v>0.49607052966490456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6621.42</v>
      </c>
      <c r="E27" s="3"/>
      <c r="F27" s="7">
        <f t="shared" si="0"/>
        <v>0</v>
      </c>
      <c r="G27" s="3"/>
      <c r="H27" s="8">
        <v>5447.23</v>
      </c>
      <c r="I27" s="3"/>
      <c r="J27" s="7">
        <f t="shared" si="1"/>
        <v>0</v>
      </c>
      <c r="K27" s="3"/>
      <c r="L27" s="8">
        <f t="shared" si="2"/>
        <v>1174.1900000000005</v>
      </c>
      <c r="M27" s="3"/>
      <c r="N27" s="7">
        <f t="shared" si="3"/>
        <v>0.2155572648850885</v>
      </c>
      <c r="O27" s="12"/>
      <c r="P27" s="8">
        <v>68728.479999999996</v>
      </c>
      <c r="Q27" s="3"/>
      <c r="R27" s="7">
        <f t="shared" si="4"/>
        <v>0</v>
      </c>
      <c r="S27" s="3"/>
      <c r="T27" s="8">
        <v>50575.9</v>
      </c>
      <c r="U27" s="3"/>
      <c r="V27" s="7">
        <f t="shared" si="5"/>
        <v>0</v>
      </c>
      <c r="W27" s="3"/>
      <c r="X27" s="8">
        <f t="shared" si="6"/>
        <v>18152.579999999994</v>
      </c>
      <c r="Y27" s="3"/>
      <c r="Z27" s="7">
        <f t="shared" si="7"/>
        <v>0.3589175872302815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4588.54</v>
      </c>
      <c r="E28" s="3"/>
      <c r="F28" s="7">
        <f t="shared" si="0"/>
        <v>0</v>
      </c>
      <c r="G28" s="3"/>
      <c r="H28" s="8">
        <v>4003.52</v>
      </c>
      <c r="I28" s="3"/>
      <c r="J28" s="7">
        <f t="shared" si="1"/>
        <v>0</v>
      </c>
      <c r="K28" s="3"/>
      <c r="L28" s="8">
        <f t="shared" si="2"/>
        <v>585.02</v>
      </c>
      <c r="M28" s="3"/>
      <c r="N28" s="7">
        <f t="shared" si="3"/>
        <v>0.14612640876029093</v>
      </c>
      <c r="O28" s="12"/>
      <c r="P28" s="8">
        <v>64427.95</v>
      </c>
      <c r="Q28" s="3"/>
      <c r="R28" s="7">
        <f t="shared" si="4"/>
        <v>0</v>
      </c>
      <c r="S28" s="3"/>
      <c r="T28" s="8">
        <v>34804.82</v>
      </c>
      <c r="U28" s="3"/>
      <c r="V28" s="7">
        <f t="shared" si="5"/>
        <v>0</v>
      </c>
      <c r="W28" s="3"/>
      <c r="X28" s="8">
        <f t="shared" si="6"/>
        <v>29623.129999999997</v>
      </c>
      <c r="Y28" s="3"/>
      <c r="Z28" s="7">
        <f t="shared" si="7"/>
        <v>0.85112148259924914</v>
      </c>
    </row>
    <row r="29" spans="1:26" s="69" customFormat="1" ht="15" hidden="1" customHeight="1" outlineLevel="2" x14ac:dyDescent="0.3">
      <c r="A29" s="26"/>
      <c r="B29" s="12" t="str">
        <f>CONCATENATE("          ","6120"," - ","RETIREES HEALTH INSURANCE")</f>
        <v xml:space="preserve">          6120 - RETIREES HEALTH INSURANCE</v>
      </c>
      <c r="C29" s="12"/>
      <c r="D29" s="8">
        <v>26491.86</v>
      </c>
      <c r="E29" s="3"/>
      <c r="F29" s="7">
        <f t="shared" si="0"/>
        <v>0</v>
      </c>
      <c r="G29" s="3"/>
      <c r="H29" s="8">
        <v>28124.68</v>
      </c>
      <c r="I29" s="3"/>
      <c r="J29" s="7">
        <f t="shared" si="1"/>
        <v>0</v>
      </c>
      <c r="K29" s="3"/>
      <c r="L29" s="8">
        <f t="shared" si="2"/>
        <v>-1632.8199999999997</v>
      </c>
      <c r="M29" s="3"/>
      <c r="N29" s="7">
        <f t="shared" si="3"/>
        <v>-5.8056482775981799E-2</v>
      </c>
      <c r="O29" s="12"/>
      <c r="P29" s="8">
        <v>218700.08</v>
      </c>
      <c r="Q29" s="3"/>
      <c r="R29" s="7">
        <f t="shared" si="4"/>
        <v>0</v>
      </c>
      <c r="S29" s="3"/>
      <c r="T29" s="8">
        <v>-161067.92000000001</v>
      </c>
      <c r="U29" s="3"/>
      <c r="V29" s="7">
        <f t="shared" si="5"/>
        <v>0</v>
      </c>
      <c r="W29" s="3"/>
      <c r="X29" s="8">
        <f t="shared" si="6"/>
        <v>379768</v>
      </c>
      <c r="Y29" s="3"/>
      <c r="Z29" s="7">
        <f t="shared" si="7"/>
        <v>-2.3578127786091727</v>
      </c>
    </row>
    <row r="30" spans="1:26" s="69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1981.38</v>
      </c>
      <c r="E30" s="3"/>
      <c r="F30" s="7">
        <f t="shared" si="0"/>
        <v>0</v>
      </c>
      <c r="G30" s="3"/>
      <c r="H30" s="8">
        <v>415.44</v>
      </c>
      <c r="I30" s="3"/>
      <c r="J30" s="7">
        <f t="shared" si="1"/>
        <v>0</v>
      </c>
      <c r="K30" s="3"/>
      <c r="L30" s="8">
        <f t="shared" si="2"/>
        <v>1565.94</v>
      </c>
      <c r="M30" s="3"/>
      <c r="N30" s="7">
        <f t="shared" si="3"/>
        <v>3.7693529751588679</v>
      </c>
      <c r="O30" s="12"/>
      <c r="P30" s="8">
        <v>11983.19</v>
      </c>
      <c r="Q30" s="3"/>
      <c r="R30" s="7">
        <f t="shared" si="4"/>
        <v>0</v>
      </c>
      <c r="S30" s="3"/>
      <c r="T30" s="8">
        <v>4989.96</v>
      </c>
      <c r="U30" s="3"/>
      <c r="V30" s="7">
        <f t="shared" si="5"/>
        <v>0</v>
      </c>
      <c r="W30" s="3"/>
      <c r="X30" s="8">
        <f t="shared" si="6"/>
        <v>6993.2300000000005</v>
      </c>
      <c r="Y30" s="3"/>
      <c r="Z30" s="7">
        <f t="shared" si="7"/>
        <v>1.4014601319449456</v>
      </c>
    </row>
    <row r="31" spans="1:26" s="68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99296.5</v>
      </c>
      <c r="E31" s="2"/>
      <c r="F31" s="6">
        <f t="shared" si="0"/>
        <v>0</v>
      </c>
      <c r="G31" s="2"/>
      <c r="H31" s="2">
        <f>SUM(OSRRefH22_1x_0)</f>
        <v>87699.200000000012</v>
      </c>
      <c r="I31" s="2"/>
      <c r="J31" s="6">
        <f t="shared" si="1"/>
        <v>0</v>
      </c>
      <c r="K31" s="2"/>
      <c r="L31" s="2">
        <f t="shared" si="2"/>
        <v>11597.299999999988</v>
      </c>
      <c r="M31" s="2"/>
      <c r="N31" s="6">
        <f t="shared" si="3"/>
        <v>0.13223951871852863</v>
      </c>
      <c r="O31" s="14"/>
      <c r="P31" s="2">
        <f>SUM(OSRRefP22_1x_0)</f>
        <v>828589.54</v>
      </c>
      <c r="Q31" s="2"/>
      <c r="R31" s="6">
        <f t="shared" si="4"/>
        <v>0</v>
      </c>
      <c r="S31" s="2"/>
      <c r="T31" s="2">
        <f>SUM(OSRRefT22_1x_0)</f>
        <v>745170.87</v>
      </c>
      <c r="U31" s="2"/>
      <c r="V31" s="6">
        <f t="shared" si="5"/>
        <v>0</v>
      </c>
      <c r="W31" s="2"/>
      <c r="X31" s="2">
        <f t="shared" si="6"/>
        <v>83418.670000000042</v>
      </c>
      <c r="Y31" s="2"/>
      <c r="Z31" s="6">
        <f t="shared" si="7"/>
        <v>0.11194569374404027</v>
      </c>
    </row>
    <row r="32" spans="1:26" s="69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26773.7</v>
      </c>
      <c r="E32" s="3"/>
      <c r="F32" s="7">
        <f t="shared" si="0"/>
        <v>0</v>
      </c>
      <c r="G32" s="3"/>
      <c r="H32" s="8">
        <v>23195.49</v>
      </c>
      <c r="I32" s="3"/>
      <c r="J32" s="7">
        <f t="shared" si="1"/>
        <v>0</v>
      </c>
      <c r="K32" s="3"/>
      <c r="L32" s="8">
        <f t="shared" si="2"/>
        <v>3578.2099999999991</v>
      </c>
      <c r="M32" s="3"/>
      <c r="N32" s="7">
        <f t="shared" si="3"/>
        <v>0.15426317788501123</v>
      </c>
      <c r="O32" s="12"/>
      <c r="P32" s="8">
        <v>222674.2</v>
      </c>
      <c r="Q32" s="3"/>
      <c r="R32" s="7">
        <f t="shared" si="4"/>
        <v>0</v>
      </c>
      <c r="S32" s="3"/>
      <c r="T32" s="8">
        <v>201251</v>
      </c>
      <c r="U32" s="3"/>
      <c r="V32" s="7">
        <f t="shared" si="5"/>
        <v>0</v>
      </c>
      <c r="W32" s="3"/>
      <c r="X32" s="8">
        <f t="shared" si="6"/>
        <v>21423.200000000012</v>
      </c>
      <c r="Y32" s="3"/>
      <c r="Z32" s="7">
        <f t="shared" si="7"/>
        <v>0.10645015428494771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49654.55</v>
      </c>
      <c r="E33" s="3"/>
      <c r="F33" s="7">
        <f t="shared" si="0"/>
        <v>0</v>
      </c>
      <c r="G33" s="3"/>
      <c r="H33" s="8">
        <v>45685.91</v>
      </c>
      <c r="I33" s="3"/>
      <c r="J33" s="7">
        <f t="shared" si="1"/>
        <v>0</v>
      </c>
      <c r="K33" s="3"/>
      <c r="L33" s="8">
        <f t="shared" si="2"/>
        <v>3968.6399999999994</v>
      </c>
      <c r="M33" s="3"/>
      <c r="N33" s="7">
        <f t="shared" si="3"/>
        <v>8.6867920547057054E-2</v>
      </c>
      <c r="O33" s="12"/>
      <c r="P33" s="8">
        <v>407595.67</v>
      </c>
      <c r="Q33" s="3"/>
      <c r="R33" s="7">
        <f t="shared" si="4"/>
        <v>0</v>
      </c>
      <c r="S33" s="3"/>
      <c r="T33" s="8">
        <v>390232.86</v>
      </c>
      <c r="U33" s="3"/>
      <c r="V33" s="7">
        <f t="shared" si="5"/>
        <v>0</v>
      </c>
      <c r="W33" s="3"/>
      <c r="X33" s="8">
        <f t="shared" si="6"/>
        <v>17362.809999999998</v>
      </c>
      <c r="Y33" s="3"/>
      <c r="Z33" s="7">
        <f t="shared" si="7"/>
        <v>4.4493459623056855E-2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24692.99</v>
      </c>
      <c r="E34" s="3"/>
      <c r="F34" s="7">
        <f t="shared" si="0"/>
        <v>0</v>
      </c>
      <c r="G34" s="3"/>
      <c r="H34" s="8">
        <v>15530.74</v>
      </c>
      <c r="I34" s="3"/>
      <c r="J34" s="7">
        <f t="shared" si="1"/>
        <v>0</v>
      </c>
      <c r="K34" s="3"/>
      <c r="L34" s="8">
        <f t="shared" si="2"/>
        <v>9162.2500000000018</v>
      </c>
      <c r="M34" s="3"/>
      <c r="N34" s="7">
        <f t="shared" si="3"/>
        <v>0.58994291321598336</v>
      </c>
      <c r="O34" s="12"/>
      <c r="P34" s="8">
        <v>166083.18</v>
      </c>
      <c r="Q34" s="3"/>
      <c r="R34" s="7">
        <f t="shared" si="4"/>
        <v>0</v>
      </c>
      <c r="S34" s="3"/>
      <c r="T34" s="8">
        <v>140070.29999999999</v>
      </c>
      <c r="U34" s="3"/>
      <c r="V34" s="7">
        <f t="shared" si="5"/>
        <v>0</v>
      </c>
      <c r="W34" s="3"/>
      <c r="X34" s="8">
        <f t="shared" si="6"/>
        <v>26012.880000000005</v>
      </c>
      <c r="Y34" s="3"/>
      <c r="Z34" s="7">
        <f t="shared" si="7"/>
        <v>0.18571303124216915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3072.14</v>
      </c>
      <c r="E35" s="3"/>
      <c r="F35" s="7">
        <f t="shared" si="0"/>
        <v>0</v>
      </c>
      <c r="G35" s="3"/>
      <c r="H35" s="8">
        <v>4163.13</v>
      </c>
      <c r="I35" s="3"/>
      <c r="J35" s="7">
        <f t="shared" si="1"/>
        <v>0</v>
      </c>
      <c r="K35" s="3"/>
      <c r="L35" s="8">
        <f t="shared" si="2"/>
        <v>-1090.9900000000002</v>
      </c>
      <c r="M35" s="3"/>
      <c r="N35" s="7">
        <f t="shared" si="3"/>
        <v>-0.26206003655903137</v>
      </c>
      <c r="O35" s="12"/>
      <c r="P35" s="8">
        <v>17299.55</v>
      </c>
      <c r="Q35" s="3"/>
      <c r="R35" s="7">
        <f t="shared" si="4"/>
        <v>0</v>
      </c>
      <c r="S35" s="3"/>
      <c r="T35" s="8">
        <v>44236.41</v>
      </c>
      <c r="U35" s="3"/>
      <c r="V35" s="7">
        <f t="shared" si="5"/>
        <v>0</v>
      </c>
      <c r="W35" s="3"/>
      <c r="X35" s="8">
        <f t="shared" si="6"/>
        <v>-26936.860000000004</v>
      </c>
      <c r="Y35" s="3"/>
      <c r="Z35" s="7">
        <f t="shared" si="7"/>
        <v>-0.60892961250698241</v>
      </c>
    </row>
    <row r="36" spans="1:26" s="69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-4896.88</v>
      </c>
      <c r="E36" s="3"/>
      <c r="F36" s="7">
        <f t="shared" si="0"/>
        <v>0</v>
      </c>
      <c r="G36" s="3"/>
      <c r="H36" s="8">
        <v>-2032</v>
      </c>
      <c r="I36" s="3"/>
      <c r="J36" s="7">
        <f t="shared" si="1"/>
        <v>0</v>
      </c>
      <c r="K36" s="3"/>
      <c r="L36" s="8">
        <f t="shared" si="2"/>
        <v>-2864.88</v>
      </c>
      <c r="M36" s="3"/>
      <c r="N36" s="7">
        <f t="shared" si="3"/>
        <v>1.4098818897637795</v>
      </c>
      <c r="O36" s="12"/>
      <c r="P36" s="8">
        <v>3461.74</v>
      </c>
      <c r="Q36" s="3"/>
      <c r="R36" s="7">
        <f t="shared" si="4"/>
        <v>0</v>
      </c>
      <c r="S36" s="3"/>
      <c r="T36" s="8">
        <v>-41371.01</v>
      </c>
      <c r="U36" s="3"/>
      <c r="V36" s="7">
        <f t="shared" si="5"/>
        <v>0</v>
      </c>
      <c r="W36" s="3"/>
      <c r="X36" s="8">
        <f t="shared" si="6"/>
        <v>44832.75</v>
      </c>
      <c r="Y36" s="3"/>
      <c r="Z36" s="7">
        <f t="shared" si="7"/>
        <v>-1.0836755012749266</v>
      </c>
    </row>
    <row r="37" spans="1:26" s="69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1155.93</v>
      </c>
      <c r="I37" s="3"/>
      <c r="J37" s="7">
        <f t="shared" si="1"/>
        <v>0</v>
      </c>
      <c r="K37" s="3"/>
      <c r="L37" s="8">
        <f t="shared" si="2"/>
        <v>-1155.93</v>
      </c>
      <c r="M37" s="3"/>
      <c r="N37" s="7">
        <f t="shared" si="3"/>
        <v>-1</v>
      </c>
      <c r="O37" s="12"/>
      <c r="P37" s="8">
        <v>11475.2</v>
      </c>
      <c r="Q37" s="3"/>
      <c r="R37" s="7">
        <f t="shared" si="4"/>
        <v>0</v>
      </c>
      <c r="S37" s="3"/>
      <c r="T37" s="8">
        <v>10751.31</v>
      </c>
      <c r="U37" s="3"/>
      <c r="V37" s="7">
        <f t="shared" si="5"/>
        <v>0</v>
      </c>
      <c r="W37" s="3"/>
      <c r="X37" s="8">
        <f t="shared" si="6"/>
        <v>723.89000000000124</v>
      </c>
      <c r="Y37" s="3"/>
      <c r="Z37" s="7">
        <f t="shared" si="7"/>
        <v>6.7330399737334456E-2</v>
      </c>
    </row>
    <row r="38" spans="1:26" s="68" customFormat="1" ht="15" customHeight="1" outlineLevel="1" collapsed="1" x14ac:dyDescent="0.3">
      <c r="A38" s="25"/>
      <c r="B38" s="14" t="str">
        <f>CONCATENATE("     ","Advertising/Promo                                 ")</f>
        <v xml:space="preserve">     Advertising/Promo                                 </v>
      </c>
      <c r="C38" s="14"/>
      <c r="D38" s="2">
        <f>SUM(OSRRefD22_2x_0)</f>
        <v>173.21</v>
      </c>
      <c r="E38" s="2"/>
      <c r="F38" s="6">
        <f t="shared" si="0"/>
        <v>0</v>
      </c>
      <c r="G38" s="2"/>
      <c r="H38" s="2">
        <f>SUM(OSRRefH22_2x_0)</f>
        <v>346.42</v>
      </c>
      <c r="I38" s="2"/>
      <c r="J38" s="6">
        <f t="shared" si="1"/>
        <v>0</v>
      </c>
      <c r="K38" s="2"/>
      <c r="L38" s="2">
        <f t="shared" si="2"/>
        <v>-173.21</v>
      </c>
      <c r="M38" s="2"/>
      <c r="N38" s="6">
        <f t="shared" si="3"/>
        <v>-0.5</v>
      </c>
      <c r="O38" s="14"/>
      <c r="P38" s="2">
        <f>SUM(OSRRefP22_2x_0)</f>
        <v>3749.95</v>
      </c>
      <c r="Q38" s="2"/>
      <c r="R38" s="6">
        <f t="shared" si="4"/>
        <v>0</v>
      </c>
      <c r="S38" s="2"/>
      <c r="T38" s="2">
        <f>SUM(OSRRefT22_2x_0)</f>
        <v>1452.48</v>
      </c>
      <c r="U38" s="2"/>
      <c r="V38" s="6">
        <f t="shared" si="5"/>
        <v>0</v>
      </c>
      <c r="W38" s="2"/>
      <c r="X38" s="2">
        <f t="shared" si="6"/>
        <v>2297.4699999999998</v>
      </c>
      <c r="Y38" s="2"/>
      <c r="Z38" s="6">
        <f t="shared" si="7"/>
        <v>1.5817567195417492</v>
      </c>
    </row>
    <row r="39" spans="1:26" s="69" customFormat="1" ht="15" hidden="1" customHeight="1" outlineLevel="2" x14ac:dyDescent="0.3">
      <c r="A39" s="26"/>
      <c r="B39" s="12" t="str">
        <f>CONCATENATE("          ","6362"," - ","ADVERTISING EXPENSE")</f>
        <v xml:space="preserve">          6362 - ADVERTISING EXPENSE</v>
      </c>
      <c r="C39" s="12"/>
      <c r="D39" s="8">
        <v>173.21</v>
      </c>
      <c r="E39" s="3"/>
      <c r="F39" s="7">
        <f t="shared" si="0"/>
        <v>0</v>
      </c>
      <c r="G39" s="3"/>
      <c r="H39" s="8">
        <v>346.42</v>
      </c>
      <c r="I39" s="3"/>
      <c r="J39" s="7">
        <f t="shared" si="1"/>
        <v>0</v>
      </c>
      <c r="K39" s="3"/>
      <c r="L39" s="8">
        <f t="shared" si="2"/>
        <v>-173.21</v>
      </c>
      <c r="M39" s="3"/>
      <c r="N39" s="7">
        <f t="shared" si="3"/>
        <v>-0.5</v>
      </c>
      <c r="O39" s="12"/>
      <c r="P39" s="8">
        <v>3749.95</v>
      </c>
      <c r="Q39" s="3"/>
      <c r="R39" s="7">
        <f t="shared" si="4"/>
        <v>0</v>
      </c>
      <c r="S39" s="3"/>
      <c r="T39" s="8">
        <v>1452.48</v>
      </c>
      <c r="U39" s="3"/>
      <c r="V39" s="7">
        <f t="shared" si="5"/>
        <v>0</v>
      </c>
      <c r="W39" s="3"/>
      <c r="X39" s="8">
        <f t="shared" si="6"/>
        <v>2297.4699999999998</v>
      </c>
      <c r="Y39" s="3"/>
      <c r="Z39" s="7">
        <f t="shared" si="7"/>
        <v>1.5817567195417492</v>
      </c>
    </row>
    <row r="40" spans="1:26" s="68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SUM(OSRRefD22_3x_0)</f>
        <v>256.75</v>
      </c>
      <c r="E40" s="2"/>
      <c r="F40" s="6">
        <f t="shared" si="0"/>
        <v>0</v>
      </c>
      <c r="G40" s="2"/>
      <c r="H40" s="2">
        <f>SUM(OSRRefH22_3x_0)</f>
        <v>135.87</v>
      </c>
      <c r="I40" s="2"/>
      <c r="J40" s="6">
        <f t="shared" si="1"/>
        <v>0</v>
      </c>
      <c r="K40" s="2"/>
      <c r="L40" s="2">
        <f t="shared" si="2"/>
        <v>120.88</v>
      </c>
      <c r="M40" s="2"/>
      <c r="N40" s="6">
        <f t="shared" si="3"/>
        <v>0.88967395304335017</v>
      </c>
      <c r="O40" s="14"/>
      <c r="P40" s="2">
        <f>SUM(OSRRefP22_3x_0)</f>
        <v>9535.83</v>
      </c>
      <c r="Q40" s="2"/>
      <c r="R40" s="6">
        <f t="shared" si="4"/>
        <v>0</v>
      </c>
      <c r="S40" s="2"/>
      <c r="T40" s="2">
        <f>SUM(OSRRefT22_3x_0)</f>
        <v>5118.54</v>
      </c>
      <c r="U40" s="2"/>
      <c r="V40" s="6">
        <f t="shared" si="5"/>
        <v>0</v>
      </c>
      <c r="W40" s="2"/>
      <c r="X40" s="2">
        <f t="shared" si="6"/>
        <v>4417.29</v>
      </c>
      <c r="Y40" s="2"/>
      <c r="Z40" s="6">
        <f t="shared" si="7"/>
        <v>0.86299804241053113</v>
      </c>
    </row>
    <row r="41" spans="1:26" s="69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8">
        <v>256.75</v>
      </c>
      <c r="E41" s="3"/>
      <c r="F41" s="7">
        <f t="shared" si="0"/>
        <v>0</v>
      </c>
      <c r="G41" s="3"/>
      <c r="H41" s="8">
        <v>135.87</v>
      </c>
      <c r="I41" s="3"/>
      <c r="J41" s="7">
        <f t="shared" si="1"/>
        <v>0</v>
      </c>
      <c r="K41" s="3"/>
      <c r="L41" s="8">
        <f t="shared" si="2"/>
        <v>120.88</v>
      </c>
      <c r="M41" s="3"/>
      <c r="N41" s="7">
        <f t="shared" si="3"/>
        <v>0.88967395304335017</v>
      </c>
      <c r="O41" s="12"/>
      <c r="P41" s="8">
        <v>9535.83</v>
      </c>
      <c r="Q41" s="3"/>
      <c r="R41" s="7">
        <f t="shared" si="4"/>
        <v>0</v>
      </c>
      <c r="S41" s="3"/>
      <c r="T41" s="8">
        <v>5118.54</v>
      </c>
      <c r="U41" s="3"/>
      <c r="V41" s="7">
        <f t="shared" si="5"/>
        <v>0</v>
      </c>
      <c r="W41" s="3"/>
      <c r="X41" s="8">
        <f t="shared" si="6"/>
        <v>4417.29</v>
      </c>
      <c r="Y41" s="3"/>
      <c r="Z41" s="7">
        <f t="shared" si="7"/>
        <v>0.86299804241053113</v>
      </c>
    </row>
    <row r="42" spans="1:26" s="68" customFormat="1" ht="15" customHeight="1" outlineLevel="1" collapsed="1" x14ac:dyDescent="0.3">
      <c r="A42" s="25"/>
      <c r="B42" s="14" t="str">
        <f>CONCATENATE("     ","Board                                             ")</f>
        <v xml:space="preserve">     Board                                             </v>
      </c>
      <c r="C42" s="14"/>
      <c r="D42" s="2">
        <f>SUM(OSRRefD22_4x_0)</f>
        <v>1438.2</v>
      </c>
      <c r="E42" s="2"/>
      <c r="F42" s="6">
        <f t="shared" si="0"/>
        <v>0</v>
      </c>
      <c r="G42" s="2"/>
      <c r="H42" s="2">
        <f>SUM(OSRRefH22_4x_0)</f>
        <v>546.76</v>
      </c>
      <c r="I42" s="2"/>
      <c r="J42" s="6">
        <f t="shared" si="1"/>
        <v>0</v>
      </c>
      <c r="K42" s="2"/>
      <c r="L42" s="2">
        <f t="shared" si="2"/>
        <v>891.44</v>
      </c>
      <c r="M42" s="2"/>
      <c r="N42" s="6">
        <f t="shared" si="3"/>
        <v>1.6304045650742558</v>
      </c>
      <c r="O42" s="14"/>
      <c r="P42" s="2">
        <f>SUM(OSRRefP22_4x_0)</f>
        <v>10085.74</v>
      </c>
      <c r="Q42" s="2"/>
      <c r="R42" s="6">
        <f t="shared" si="4"/>
        <v>0</v>
      </c>
      <c r="S42" s="2"/>
      <c r="T42" s="2">
        <f>SUM(OSRRefT22_4x_0)</f>
        <v>10146.75</v>
      </c>
      <c r="U42" s="2"/>
      <c r="V42" s="6">
        <f t="shared" si="5"/>
        <v>0</v>
      </c>
      <c r="W42" s="2"/>
      <c r="X42" s="2">
        <f t="shared" si="6"/>
        <v>-61.010000000000218</v>
      </c>
      <c r="Y42" s="2"/>
      <c r="Z42" s="6">
        <f t="shared" si="7"/>
        <v>-6.0127627072708223E-3</v>
      </c>
    </row>
    <row r="43" spans="1:26" s="69" customFormat="1" ht="15" hidden="1" customHeight="1" outlineLevel="2" x14ac:dyDescent="0.3">
      <c r="A43" s="26"/>
      <c r="B43" s="12" t="str">
        <f>CONCATENATE("          ","6397"," - ","BOARD EXPENSES")</f>
        <v xml:space="preserve">          6397 - BOARD EXPENSES</v>
      </c>
      <c r="C43" s="12"/>
      <c r="D43" s="8">
        <v>1438.2</v>
      </c>
      <c r="E43" s="3"/>
      <c r="F43" s="7">
        <f t="shared" si="0"/>
        <v>0</v>
      </c>
      <c r="G43" s="3"/>
      <c r="H43" s="8">
        <v>546.76</v>
      </c>
      <c r="I43" s="3"/>
      <c r="J43" s="7">
        <f t="shared" si="1"/>
        <v>0</v>
      </c>
      <c r="K43" s="3"/>
      <c r="L43" s="8">
        <f t="shared" si="2"/>
        <v>891.44</v>
      </c>
      <c r="M43" s="3"/>
      <c r="N43" s="7">
        <f t="shared" si="3"/>
        <v>1.6304045650742558</v>
      </c>
      <c r="O43" s="12"/>
      <c r="P43" s="8">
        <v>10085.74</v>
      </c>
      <c r="Q43" s="3"/>
      <c r="R43" s="7">
        <f t="shared" si="4"/>
        <v>0</v>
      </c>
      <c r="S43" s="3"/>
      <c r="T43" s="8">
        <v>10146.75</v>
      </c>
      <c r="U43" s="3"/>
      <c r="V43" s="7">
        <f t="shared" si="5"/>
        <v>0</v>
      </c>
      <c r="W43" s="3"/>
      <c r="X43" s="8">
        <f t="shared" si="6"/>
        <v>-61.010000000000218</v>
      </c>
      <c r="Y43" s="3"/>
      <c r="Z43" s="7">
        <f t="shared" si="7"/>
        <v>-6.0127627072708223E-3</v>
      </c>
    </row>
    <row r="44" spans="1:26" s="68" customFormat="1" ht="15" customHeight="1" outlineLevel="1" collapsed="1" x14ac:dyDescent="0.3">
      <c r="A44" s="25"/>
      <c r="B44" s="14" t="str">
        <f>CONCATENATE("     ","Depreciation                                      ")</f>
        <v xml:space="preserve">     Depreciation                                      </v>
      </c>
      <c r="C44" s="14"/>
      <c r="D44" s="2">
        <f>SUM(OSRRefD22_5x_0)</f>
        <v>4014.6</v>
      </c>
      <c r="E44" s="2"/>
      <c r="F44" s="6">
        <f t="shared" si="0"/>
        <v>0</v>
      </c>
      <c r="G44" s="2"/>
      <c r="H44" s="2">
        <f>SUM(OSRRefH22_5x_0)</f>
        <v>6867.83</v>
      </c>
      <c r="I44" s="2"/>
      <c r="J44" s="6">
        <f t="shared" si="1"/>
        <v>0</v>
      </c>
      <c r="K44" s="2"/>
      <c r="L44" s="2">
        <f t="shared" si="2"/>
        <v>-2853.23</v>
      </c>
      <c r="M44" s="2"/>
      <c r="N44" s="6">
        <f t="shared" si="3"/>
        <v>-0.41544854779457269</v>
      </c>
      <c r="O44" s="14"/>
      <c r="P44" s="2">
        <f>SUM(OSRRefP22_5x_0)</f>
        <v>40989.519999999997</v>
      </c>
      <c r="Q44" s="2"/>
      <c r="R44" s="6">
        <f t="shared" si="4"/>
        <v>0</v>
      </c>
      <c r="S44" s="2"/>
      <c r="T44" s="2">
        <f>SUM(OSRRefT22_5x_0)</f>
        <v>58411.7</v>
      </c>
      <c r="U44" s="2"/>
      <c r="V44" s="6">
        <f t="shared" si="5"/>
        <v>0</v>
      </c>
      <c r="W44" s="2"/>
      <c r="X44" s="2">
        <f t="shared" si="6"/>
        <v>-17422.18</v>
      </c>
      <c r="Y44" s="2"/>
      <c r="Z44" s="6">
        <f t="shared" si="7"/>
        <v>-0.29826524480540717</v>
      </c>
    </row>
    <row r="45" spans="1:26" s="69" customFormat="1" ht="15" hidden="1" customHeight="1" outlineLevel="2" x14ac:dyDescent="0.3">
      <c r="A45" s="26"/>
      <c r="B45" s="12" t="str">
        <f>CONCATENATE("          ","6322"," - ","EQUIPMENT DEPRECIATION EXPENSE")</f>
        <v xml:space="preserve">          6322 - EQUIPMENT DEPRECIATION EXPENSE</v>
      </c>
      <c r="C45" s="12"/>
      <c r="D45" s="8">
        <v>4014.6</v>
      </c>
      <c r="E45" s="3"/>
      <c r="F45" s="7">
        <f t="shared" si="0"/>
        <v>0</v>
      </c>
      <c r="G45" s="3"/>
      <c r="H45" s="8">
        <v>6867.83</v>
      </c>
      <c r="I45" s="3"/>
      <c r="J45" s="7">
        <f t="shared" si="1"/>
        <v>0</v>
      </c>
      <c r="K45" s="3"/>
      <c r="L45" s="8">
        <f t="shared" si="2"/>
        <v>-2853.23</v>
      </c>
      <c r="M45" s="3"/>
      <c r="N45" s="7">
        <f t="shared" si="3"/>
        <v>-0.41544854779457269</v>
      </c>
      <c r="O45" s="12"/>
      <c r="P45" s="8">
        <v>40989.519999999997</v>
      </c>
      <c r="Q45" s="3"/>
      <c r="R45" s="7">
        <f t="shared" si="4"/>
        <v>0</v>
      </c>
      <c r="S45" s="3"/>
      <c r="T45" s="8">
        <v>58411.7</v>
      </c>
      <c r="U45" s="3"/>
      <c r="V45" s="7">
        <f t="shared" si="5"/>
        <v>0</v>
      </c>
      <c r="W45" s="3"/>
      <c r="X45" s="8">
        <f t="shared" si="6"/>
        <v>-17422.18</v>
      </c>
      <c r="Y45" s="3"/>
      <c r="Z45" s="7">
        <f t="shared" si="7"/>
        <v>-0.29826524480540717</v>
      </c>
    </row>
    <row r="46" spans="1:26" s="68" customFormat="1" ht="15" customHeight="1" outlineLevel="1" collapsed="1" x14ac:dyDescent="0.3">
      <c r="A46" s="25"/>
      <c r="B46" s="14" t="str">
        <f>CONCATENATE("     ","Donations                                         ")</f>
        <v xml:space="preserve">     Donations              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25300</v>
      </c>
      <c r="Q46" s="2"/>
      <c r="R46" s="6">
        <f t="shared" si="4"/>
        <v>0</v>
      </c>
      <c r="S46" s="2"/>
      <c r="T46" s="2">
        <f>SUM(OSRRefT22_6x_0)</f>
        <v>25000</v>
      </c>
      <c r="U46" s="2"/>
      <c r="V46" s="6">
        <f t="shared" si="5"/>
        <v>0</v>
      </c>
      <c r="W46" s="2"/>
      <c r="X46" s="2">
        <f t="shared" si="6"/>
        <v>300</v>
      </c>
      <c r="Y46" s="2"/>
      <c r="Z46" s="6">
        <f t="shared" si="7"/>
        <v>1.2E-2</v>
      </c>
    </row>
    <row r="47" spans="1:26" s="69" customFormat="1" ht="15" hidden="1" customHeight="1" outlineLevel="2" x14ac:dyDescent="0.3">
      <c r="A47" s="26"/>
      <c r="B47" s="12" t="str">
        <f>CONCATENATE("          ","6399"," - ","DONATION-ON CAMPUS")</f>
        <v xml:space="preserve">          6399 - DONATION-ON CAMPUS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25300</v>
      </c>
      <c r="Q47" s="3"/>
      <c r="R47" s="7">
        <f t="shared" si="4"/>
        <v>0</v>
      </c>
      <c r="S47" s="3"/>
      <c r="T47" s="8">
        <v>25000</v>
      </c>
      <c r="U47" s="3"/>
      <c r="V47" s="7">
        <f t="shared" si="5"/>
        <v>0</v>
      </c>
      <c r="W47" s="3"/>
      <c r="X47" s="8">
        <f t="shared" si="6"/>
        <v>300</v>
      </c>
      <c r="Y47" s="3"/>
      <c r="Z47" s="7">
        <f t="shared" si="7"/>
        <v>1.2E-2</v>
      </c>
    </row>
    <row r="48" spans="1:26" s="68" customFormat="1" ht="15" customHeight="1" outlineLevel="1" collapsed="1" x14ac:dyDescent="0.3">
      <c r="A48" s="25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643.6</v>
      </c>
      <c r="Q48" s="2"/>
      <c r="R48" s="6">
        <f t="shared" si="4"/>
        <v>0</v>
      </c>
      <c r="S48" s="2"/>
      <c r="T48" s="2">
        <f>SUM(OSRRefT22_7x_0)</f>
        <v>81.56</v>
      </c>
      <c r="U48" s="2"/>
      <c r="V48" s="6">
        <f t="shared" si="5"/>
        <v>0</v>
      </c>
      <c r="W48" s="2"/>
      <c r="X48" s="2">
        <f t="shared" si="6"/>
        <v>562.04</v>
      </c>
      <c r="Y48" s="2"/>
      <c r="Z48" s="6">
        <f t="shared" si="7"/>
        <v>6.8911230995586061</v>
      </c>
    </row>
    <row r="49" spans="1:26" s="69" customFormat="1" ht="15" hidden="1" customHeight="1" outlineLevel="2" x14ac:dyDescent="0.3">
      <c r="A49" s="26"/>
      <c r="B49" s="12" t="str">
        <f>CONCATENATE("          ","6277"," - ","EMPLOYEE APPRECIATION")</f>
        <v xml:space="preserve">          6277 - EMPLOYEE APPRECIATION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643.6</v>
      </c>
      <c r="Q49" s="3"/>
      <c r="R49" s="7">
        <f t="shared" si="4"/>
        <v>0</v>
      </c>
      <c r="S49" s="3"/>
      <c r="T49" s="8">
        <v>81.56</v>
      </c>
      <c r="U49" s="3"/>
      <c r="V49" s="7">
        <f t="shared" si="5"/>
        <v>0</v>
      </c>
      <c r="W49" s="3"/>
      <c r="X49" s="8">
        <f t="shared" si="6"/>
        <v>562.04</v>
      </c>
      <c r="Y49" s="3"/>
      <c r="Z49" s="7">
        <f t="shared" si="7"/>
        <v>6.8911230995586061</v>
      </c>
    </row>
    <row r="50" spans="1:26" s="68" customFormat="1" ht="15" customHeight="1" outlineLevel="1" collapsed="1" x14ac:dyDescent="0.3">
      <c r="A50" s="25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SUM(OSRRefD22_8x_0)</f>
        <v>208.97</v>
      </c>
      <c r="E50" s="2"/>
      <c r="F50" s="6">
        <f t="shared" ref="F50:F86" si="8">IF(D$12=0,0,D50/D$12)</f>
        <v>0</v>
      </c>
      <c r="G50" s="2"/>
      <c r="H50" s="2">
        <f>SUM(OSRRefH22_8x_0)</f>
        <v>208.97</v>
      </c>
      <c r="I50" s="2"/>
      <c r="J50" s="6">
        <f t="shared" ref="J50:J86" si="9">IF(H$12=0,0,H50/H$12)</f>
        <v>0</v>
      </c>
      <c r="K50" s="2"/>
      <c r="L50" s="2">
        <f t="shared" ref="L50:L86" si="10">+D50-H50</f>
        <v>0</v>
      </c>
      <c r="M50" s="2"/>
      <c r="N50" s="6">
        <f t="shared" ref="N50:N86" si="11">IF(H50=0,0,L50/H50)</f>
        <v>0</v>
      </c>
      <c r="O50" s="14"/>
      <c r="P50" s="2">
        <f>SUM(OSRRefP22_8x_0)</f>
        <v>1671.76</v>
      </c>
      <c r="Q50" s="2"/>
      <c r="R50" s="6">
        <f t="shared" ref="R50:R86" si="12">IF(P$12=0,0,P50/P$12)</f>
        <v>0</v>
      </c>
      <c r="S50" s="2"/>
      <c r="T50" s="2">
        <f>SUM(OSRRefT22_8x_0)</f>
        <v>1671.76</v>
      </c>
      <c r="U50" s="2"/>
      <c r="V50" s="6">
        <f t="shared" ref="V50:V86" si="13">IF(T$12=0,0,T50/T$12)</f>
        <v>0</v>
      </c>
      <c r="W50" s="2"/>
      <c r="X50" s="2">
        <f t="shared" ref="X50:X86" si="14">+P50-T50</f>
        <v>0</v>
      </c>
      <c r="Y50" s="2"/>
      <c r="Z50" s="6">
        <f t="shared" ref="Z50:Z86" si="15">IF(T50=0,0,X50/T50)</f>
        <v>0</v>
      </c>
    </row>
    <row r="51" spans="1:26" s="69" customFormat="1" ht="15" hidden="1" customHeight="1" outlineLevel="2" x14ac:dyDescent="0.3">
      <c r="A51" s="26"/>
      <c r="B51" s="12" t="str">
        <f>CONCATENATE("          ","6351"," - ","EQUIPMENT RENTAL")</f>
        <v xml:space="preserve">          6351 - EQUIPMENT RENTAL</v>
      </c>
      <c r="C51" s="12"/>
      <c r="D51" s="8">
        <v>208.97</v>
      </c>
      <c r="E51" s="3"/>
      <c r="F51" s="7">
        <f t="shared" si="8"/>
        <v>0</v>
      </c>
      <c r="G51" s="3"/>
      <c r="H51" s="8">
        <v>208.97</v>
      </c>
      <c r="I51" s="3"/>
      <c r="J51" s="7">
        <f t="shared" si="9"/>
        <v>0</v>
      </c>
      <c r="K51" s="3"/>
      <c r="L51" s="8">
        <f t="shared" si="10"/>
        <v>0</v>
      </c>
      <c r="M51" s="3"/>
      <c r="N51" s="7">
        <f t="shared" si="11"/>
        <v>0</v>
      </c>
      <c r="O51" s="12"/>
      <c r="P51" s="8">
        <v>1671.76</v>
      </c>
      <c r="Q51" s="3"/>
      <c r="R51" s="7">
        <f t="shared" si="12"/>
        <v>0</v>
      </c>
      <c r="S51" s="3"/>
      <c r="T51" s="8">
        <v>1671.76</v>
      </c>
      <c r="U51" s="3"/>
      <c r="V51" s="7">
        <f t="shared" si="13"/>
        <v>0</v>
      </c>
      <c r="W51" s="3"/>
      <c r="X51" s="8">
        <f t="shared" si="14"/>
        <v>0</v>
      </c>
      <c r="Y51" s="3"/>
      <c r="Z51" s="7">
        <f t="shared" si="15"/>
        <v>0</v>
      </c>
    </row>
    <row r="52" spans="1:26" s="68" customFormat="1" ht="15" customHeight="1" outlineLevel="1" collapsed="1" x14ac:dyDescent="0.3">
      <c r="A52" s="25"/>
      <c r="B52" s="14" t="str">
        <f>CONCATENATE("     ","Freight out/Postage                               ")</f>
        <v xml:space="preserve">     Freight out/Postage                               </v>
      </c>
      <c r="C52" s="14"/>
      <c r="D52" s="2">
        <f>SUM(OSRRefD22_9x_0)</f>
        <v>166.9</v>
      </c>
      <c r="E52" s="2"/>
      <c r="F52" s="6">
        <f t="shared" si="8"/>
        <v>0</v>
      </c>
      <c r="G52" s="2"/>
      <c r="H52" s="2">
        <f>SUM(OSRRefH22_9x_0)</f>
        <v>16.829999999999998</v>
      </c>
      <c r="I52" s="2"/>
      <c r="J52" s="6">
        <f t="shared" si="9"/>
        <v>0</v>
      </c>
      <c r="K52" s="2"/>
      <c r="L52" s="2">
        <f t="shared" si="10"/>
        <v>150.07</v>
      </c>
      <c r="M52" s="2"/>
      <c r="N52" s="6">
        <f t="shared" si="11"/>
        <v>8.9168152109328584</v>
      </c>
      <c r="O52" s="14"/>
      <c r="P52" s="2">
        <f>SUM(OSRRefP22_9x_0)</f>
        <v>1310.71</v>
      </c>
      <c r="Q52" s="2"/>
      <c r="R52" s="6">
        <f t="shared" si="12"/>
        <v>0</v>
      </c>
      <c r="S52" s="2"/>
      <c r="T52" s="2">
        <f>SUM(OSRRefT22_9x_0)</f>
        <v>912.28</v>
      </c>
      <c r="U52" s="2"/>
      <c r="V52" s="6">
        <f t="shared" si="13"/>
        <v>0</v>
      </c>
      <c r="W52" s="2"/>
      <c r="X52" s="2">
        <f t="shared" si="14"/>
        <v>398.43000000000006</v>
      </c>
      <c r="Y52" s="2"/>
      <c r="Z52" s="6">
        <f t="shared" si="15"/>
        <v>0.4367409128776254</v>
      </c>
    </row>
    <row r="53" spans="1:26" s="69" customFormat="1" ht="15" hidden="1" customHeight="1" outlineLevel="2" x14ac:dyDescent="0.3">
      <c r="A53" s="26"/>
      <c r="B53" s="12" t="str">
        <f>CONCATENATE("          ","6305"," - ","FREIGHT OUT")</f>
        <v xml:space="preserve">          6305 - FREIGHT OUT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/>
      <c r="Q53" s="3"/>
      <c r="R53" s="7">
        <f t="shared" si="12"/>
        <v>0</v>
      </c>
      <c r="S53" s="3"/>
      <c r="T53" s="8">
        <v>5.41</v>
      </c>
      <c r="U53" s="3"/>
      <c r="V53" s="7">
        <f t="shared" si="13"/>
        <v>0</v>
      </c>
      <c r="W53" s="3"/>
      <c r="X53" s="8">
        <f t="shared" si="14"/>
        <v>-5.41</v>
      </c>
      <c r="Y53" s="3"/>
      <c r="Z53" s="7">
        <f t="shared" si="15"/>
        <v>-1</v>
      </c>
    </row>
    <row r="54" spans="1:26" s="69" customFormat="1" ht="15" hidden="1" customHeight="1" outlineLevel="2" x14ac:dyDescent="0.3">
      <c r="A54" s="26"/>
      <c r="B54" s="12" t="str">
        <f>CONCATENATE("          ","6307"," - ","POSTAGE")</f>
        <v xml:space="preserve">          6307 - POSTAGE</v>
      </c>
      <c r="C54" s="12"/>
      <c r="D54" s="8">
        <v>166.9</v>
      </c>
      <c r="E54" s="3"/>
      <c r="F54" s="7">
        <f t="shared" si="8"/>
        <v>0</v>
      </c>
      <c r="G54" s="3"/>
      <c r="H54" s="8">
        <v>16.829999999999998</v>
      </c>
      <c r="I54" s="3"/>
      <c r="J54" s="7">
        <f t="shared" si="9"/>
        <v>0</v>
      </c>
      <c r="K54" s="3"/>
      <c r="L54" s="8">
        <f t="shared" si="10"/>
        <v>150.07</v>
      </c>
      <c r="M54" s="3"/>
      <c r="N54" s="7">
        <f t="shared" si="11"/>
        <v>8.9168152109328584</v>
      </c>
      <c r="O54" s="12"/>
      <c r="P54" s="8">
        <v>1310.71</v>
      </c>
      <c r="Q54" s="3"/>
      <c r="R54" s="7">
        <f t="shared" si="12"/>
        <v>0</v>
      </c>
      <c r="S54" s="3"/>
      <c r="T54" s="8">
        <v>906.87</v>
      </c>
      <c r="U54" s="3"/>
      <c r="V54" s="7">
        <f t="shared" si="13"/>
        <v>0</v>
      </c>
      <c r="W54" s="3"/>
      <c r="X54" s="8">
        <f t="shared" si="14"/>
        <v>403.84000000000003</v>
      </c>
      <c r="Y54" s="3"/>
      <c r="Z54" s="7">
        <f t="shared" si="15"/>
        <v>0.4453118969642838</v>
      </c>
    </row>
    <row r="55" spans="1:26" s="68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SUM(OSRRefD22_10x_0)</f>
        <v>55.5</v>
      </c>
      <c r="E55" s="2"/>
      <c r="F55" s="6">
        <f t="shared" si="8"/>
        <v>0</v>
      </c>
      <c r="G55" s="2"/>
      <c r="H55" s="2">
        <f>SUM(OSRRefH22_10x_0)</f>
        <v>-489.4</v>
      </c>
      <c r="I55" s="2"/>
      <c r="J55" s="6">
        <f t="shared" si="9"/>
        <v>0</v>
      </c>
      <c r="K55" s="2"/>
      <c r="L55" s="2">
        <f t="shared" si="10"/>
        <v>544.9</v>
      </c>
      <c r="M55" s="2"/>
      <c r="N55" s="6">
        <f t="shared" si="11"/>
        <v>-1.113404168369432</v>
      </c>
      <c r="O55" s="14"/>
      <c r="P55" s="2">
        <f>SUM(OSRRefP22_10x_0)</f>
        <v>1882.68</v>
      </c>
      <c r="Q55" s="2"/>
      <c r="R55" s="6">
        <f t="shared" si="12"/>
        <v>0</v>
      </c>
      <c r="S55" s="2"/>
      <c r="T55" s="2">
        <f>SUM(OSRRefT22_10x_0)</f>
        <v>-61.66</v>
      </c>
      <c r="U55" s="2"/>
      <c r="V55" s="6">
        <f t="shared" si="13"/>
        <v>0</v>
      </c>
      <c r="W55" s="2"/>
      <c r="X55" s="2">
        <f t="shared" si="14"/>
        <v>1944.3400000000001</v>
      </c>
      <c r="Y55" s="2"/>
      <c r="Z55" s="6">
        <f t="shared" si="15"/>
        <v>-31.533246837495948</v>
      </c>
    </row>
    <row r="56" spans="1:26" s="69" customFormat="1" ht="15" hidden="1" customHeight="1" outlineLevel="2" x14ac:dyDescent="0.3">
      <c r="A56" s="26"/>
      <c r="B56" s="12" t="str">
        <f>CONCATENATE("          ","6279"," - ","GENERAL EXPENSE")</f>
        <v xml:space="preserve">          6279 - GENERAL EXPENSE</v>
      </c>
      <c r="C56" s="12"/>
      <c r="D56" s="8">
        <v>55.5</v>
      </c>
      <c r="E56" s="3"/>
      <c r="F56" s="7">
        <f t="shared" si="8"/>
        <v>0</v>
      </c>
      <c r="G56" s="3"/>
      <c r="H56" s="8">
        <v>-489.4</v>
      </c>
      <c r="I56" s="3"/>
      <c r="J56" s="7">
        <f t="shared" si="9"/>
        <v>0</v>
      </c>
      <c r="K56" s="3"/>
      <c r="L56" s="8">
        <f t="shared" si="10"/>
        <v>544.9</v>
      </c>
      <c r="M56" s="3"/>
      <c r="N56" s="7">
        <f t="shared" si="11"/>
        <v>-1.113404168369432</v>
      </c>
      <c r="O56" s="12"/>
      <c r="P56" s="8">
        <v>1882.68</v>
      </c>
      <c r="Q56" s="3"/>
      <c r="R56" s="7">
        <f t="shared" si="12"/>
        <v>0</v>
      </c>
      <c r="S56" s="3"/>
      <c r="T56" s="8">
        <v>-61.66</v>
      </c>
      <c r="U56" s="3"/>
      <c r="V56" s="7">
        <f t="shared" si="13"/>
        <v>0</v>
      </c>
      <c r="W56" s="3"/>
      <c r="X56" s="8">
        <f t="shared" si="14"/>
        <v>1944.3400000000001</v>
      </c>
      <c r="Y56" s="3"/>
      <c r="Z56" s="7">
        <f t="shared" si="15"/>
        <v>-31.533246837495948</v>
      </c>
    </row>
    <row r="57" spans="1:26" s="68" customFormat="1" ht="15" customHeight="1" outlineLevel="1" collapsed="1" x14ac:dyDescent="0.3">
      <c r="A57" s="25"/>
      <c r="B57" s="14" t="str">
        <f>CONCATENATE("     ","Insurance                                         ")</f>
        <v xml:space="preserve">     Insurance                                         </v>
      </c>
      <c r="C57" s="14"/>
      <c r="D57" s="2">
        <f>SUM(OSRRefD22_11x_0)</f>
        <v>535.05999999999995</v>
      </c>
      <c r="E57" s="2"/>
      <c r="F57" s="6">
        <f t="shared" si="8"/>
        <v>0</v>
      </c>
      <c r="G57" s="2"/>
      <c r="H57" s="2">
        <f>SUM(OSRRefH22_11x_0)</f>
        <v>393.67</v>
      </c>
      <c r="I57" s="2"/>
      <c r="J57" s="6">
        <f t="shared" si="9"/>
        <v>0</v>
      </c>
      <c r="K57" s="2"/>
      <c r="L57" s="2">
        <f t="shared" si="10"/>
        <v>141.38999999999993</v>
      </c>
      <c r="M57" s="2"/>
      <c r="N57" s="6">
        <f t="shared" si="11"/>
        <v>0.35915868620926139</v>
      </c>
      <c r="O57" s="14"/>
      <c r="P57" s="2">
        <f>SUM(OSRRefP22_11x_0)</f>
        <v>4280.4799999999996</v>
      </c>
      <c r="Q57" s="2"/>
      <c r="R57" s="6">
        <f t="shared" si="12"/>
        <v>0</v>
      </c>
      <c r="S57" s="2"/>
      <c r="T57" s="2">
        <f>SUM(OSRRefT22_11x_0)</f>
        <v>3149.36</v>
      </c>
      <c r="U57" s="2"/>
      <c r="V57" s="6">
        <f t="shared" si="13"/>
        <v>0</v>
      </c>
      <c r="W57" s="2"/>
      <c r="X57" s="2">
        <f t="shared" si="14"/>
        <v>1131.1199999999994</v>
      </c>
      <c r="Y57" s="2"/>
      <c r="Z57" s="6">
        <f t="shared" si="15"/>
        <v>0.35915868620926139</v>
      </c>
    </row>
    <row r="58" spans="1:26" s="69" customFormat="1" ht="15" hidden="1" customHeight="1" outlineLevel="2" x14ac:dyDescent="0.3">
      <c r="A58" s="26"/>
      <c r="B58" s="12" t="str">
        <f>CONCATENATE("          ","6314"," - ","LIABILITY INSURANCE")</f>
        <v xml:space="preserve">          6314 - LIABILITY INSURANCE</v>
      </c>
      <c r="C58" s="12"/>
      <c r="D58" s="8">
        <v>535.05999999999995</v>
      </c>
      <c r="E58" s="3"/>
      <c r="F58" s="7">
        <f t="shared" si="8"/>
        <v>0</v>
      </c>
      <c r="G58" s="3"/>
      <c r="H58" s="8">
        <v>393.67</v>
      </c>
      <c r="I58" s="3"/>
      <c r="J58" s="7">
        <f t="shared" si="9"/>
        <v>0</v>
      </c>
      <c r="K58" s="3"/>
      <c r="L58" s="8">
        <f t="shared" si="10"/>
        <v>141.38999999999993</v>
      </c>
      <c r="M58" s="3"/>
      <c r="N58" s="7">
        <f t="shared" si="11"/>
        <v>0.35915868620926139</v>
      </c>
      <c r="O58" s="12"/>
      <c r="P58" s="8">
        <v>4280.4799999999996</v>
      </c>
      <c r="Q58" s="3"/>
      <c r="R58" s="7">
        <f t="shared" si="12"/>
        <v>0</v>
      </c>
      <c r="S58" s="3"/>
      <c r="T58" s="8">
        <v>3149.36</v>
      </c>
      <c r="U58" s="3"/>
      <c r="V58" s="7">
        <f t="shared" si="13"/>
        <v>0</v>
      </c>
      <c r="W58" s="3"/>
      <c r="X58" s="8">
        <f t="shared" si="14"/>
        <v>1131.1199999999994</v>
      </c>
      <c r="Y58" s="3"/>
      <c r="Z58" s="7">
        <f t="shared" si="15"/>
        <v>0.35915868620926139</v>
      </c>
    </row>
    <row r="59" spans="1:26" s="68" customFormat="1" ht="15" customHeight="1" outlineLevel="1" collapsed="1" x14ac:dyDescent="0.3">
      <c r="A59" s="25"/>
      <c r="B59" s="14" t="str">
        <f>CONCATENATE("     ","Professional Services                             ")</f>
        <v xml:space="preserve">     Professional Services                             </v>
      </c>
      <c r="C59" s="14"/>
      <c r="D59" s="2">
        <f>SUM(OSRRefD22_12x_0)</f>
        <v>0</v>
      </c>
      <c r="E59" s="2"/>
      <c r="F59" s="6">
        <f t="shared" si="8"/>
        <v>0</v>
      </c>
      <c r="G59" s="2"/>
      <c r="H59" s="2">
        <f>SUM(OSRRefH22_12x_0)</f>
        <v>725</v>
      </c>
      <c r="I59" s="2"/>
      <c r="J59" s="6">
        <f t="shared" si="9"/>
        <v>0</v>
      </c>
      <c r="K59" s="2"/>
      <c r="L59" s="2">
        <f t="shared" si="10"/>
        <v>-725</v>
      </c>
      <c r="M59" s="2"/>
      <c r="N59" s="6">
        <f t="shared" si="11"/>
        <v>-1</v>
      </c>
      <c r="O59" s="14"/>
      <c r="P59" s="2">
        <f>SUM(OSRRefP22_12x_0)</f>
        <v>93596.93</v>
      </c>
      <c r="Q59" s="2"/>
      <c r="R59" s="6">
        <f t="shared" si="12"/>
        <v>0</v>
      </c>
      <c r="S59" s="2"/>
      <c r="T59" s="2">
        <f>SUM(OSRRefT22_12x_0)</f>
        <v>94181.37000000001</v>
      </c>
      <c r="U59" s="2"/>
      <c r="V59" s="6">
        <f t="shared" si="13"/>
        <v>0</v>
      </c>
      <c r="W59" s="2"/>
      <c r="X59" s="2">
        <f t="shared" si="14"/>
        <v>-584.44000000001688</v>
      </c>
      <c r="Y59" s="2"/>
      <c r="Z59" s="6">
        <f t="shared" si="15"/>
        <v>-6.2054735453520886E-3</v>
      </c>
    </row>
    <row r="60" spans="1:26" s="69" customFormat="1" ht="15" hidden="1" customHeight="1" outlineLevel="2" x14ac:dyDescent="0.3">
      <c r="A60" s="26"/>
      <c r="B60" s="12" t="str">
        <f>CONCATENATE("          ","6331"," - ","INDIRECT COSTS-AUXILIARY ORGAN")</f>
        <v xml:space="preserve">          6331 - INDIRECT COSTS-AUXILIARY ORGAN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79513.25</v>
      </c>
      <c r="Q60" s="3"/>
      <c r="R60" s="7">
        <f t="shared" si="12"/>
        <v>0</v>
      </c>
      <c r="S60" s="3"/>
      <c r="T60" s="8">
        <v>80832.25</v>
      </c>
      <c r="U60" s="3"/>
      <c r="V60" s="7">
        <f t="shared" si="13"/>
        <v>0</v>
      </c>
      <c r="W60" s="3"/>
      <c r="X60" s="8">
        <f t="shared" si="14"/>
        <v>-1319</v>
      </c>
      <c r="Y60" s="3"/>
      <c r="Z60" s="7">
        <f t="shared" si="15"/>
        <v>-1.6317744464616535E-2</v>
      </c>
    </row>
    <row r="61" spans="1:26" s="69" customFormat="1" ht="15" hidden="1" customHeight="1" outlineLevel="2" x14ac:dyDescent="0.3">
      <c r="A61" s="26"/>
      <c r="B61" s="12" t="str">
        <f>CONCATENATE("          ","6334"," - ","LEGAL COUNCIL EXPENSE")</f>
        <v xml:space="preserve">          6334 - LEGAL COUNCIL EXPENSE</v>
      </c>
      <c r="C61" s="12"/>
      <c r="D61" s="8"/>
      <c r="E61" s="3"/>
      <c r="F61" s="7">
        <f t="shared" si="8"/>
        <v>0</v>
      </c>
      <c r="G61" s="3"/>
      <c r="H61" s="8">
        <v>725</v>
      </c>
      <c r="I61" s="3"/>
      <c r="J61" s="7">
        <f t="shared" si="9"/>
        <v>0</v>
      </c>
      <c r="K61" s="3"/>
      <c r="L61" s="8">
        <f t="shared" si="10"/>
        <v>-725</v>
      </c>
      <c r="M61" s="3"/>
      <c r="N61" s="7">
        <f t="shared" si="11"/>
        <v>-1</v>
      </c>
      <c r="O61" s="12"/>
      <c r="P61" s="8">
        <v>3455</v>
      </c>
      <c r="Q61" s="3"/>
      <c r="R61" s="7">
        <f t="shared" si="12"/>
        <v>0</v>
      </c>
      <c r="S61" s="3"/>
      <c r="T61" s="8">
        <v>6979.24</v>
      </c>
      <c r="U61" s="3"/>
      <c r="V61" s="7">
        <f t="shared" si="13"/>
        <v>0</v>
      </c>
      <c r="W61" s="3"/>
      <c r="X61" s="8">
        <f t="shared" si="14"/>
        <v>-3524.24</v>
      </c>
      <c r="Y61" s="3"/>
      <c r="Z61" s="7">
        <f t="shared" si="15"/>
        <v>-0.5049604254904545</v>
      </c>
    </row>
    <row r="62" spans="1:26" s="69" customFormat="1" ht="15" hidden="1" customHeight="1" outlineLevel="2" x14ac:dyDescent="0.3">
      <c r="A62" s="26"/>
      <c r="B62" s="12" t="str">
        <f>CONCATENATE("          ","6336"," - ","PROFESSIONAL SERVICES")</f>
        <v xml:space="preserve">          6336 - PROFESSIONAL SERVICES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10628.68</v>
      </c>
      <c r="Q62" s="3"/>
      <c r="R62" s="7">
        <f t="shared" si="12"/>
        <v>0</v>
      </c>
      <c r="S62" s="3"/>
      <c r="T62" s="8">
        <v>6369.88</v>
      </c>
      <c r="U62" s="3"/>
      <c r="V62" s="7">
        <f t="shared" si="13"/>
        <v>0</v>
      </c>
      <c r="W62" s="3"/>
      <c r="X62" s="8">
        <f t="shared" si="14"/>
        <v>4258.8</v>
      </c>
      <c r="Y62" s="3"/>
      <c r="Z62" s="7">
        <f t="shared" si="15"/>
        <v>0.66858402356088342</v>
      </c>
    </row>
    <row r="63" spans="1:26" s="68" customFormat="1" ht="15" customHeight="1" outlineLevel="1" collapsed="1" x14ac:dyDescent="0.3">
      <c r="A63" s="25"/>
      <c r="B63" s="14" t="str">
        <f>CONCATENATE("     ","Repair and Maintenance                            ")</f>
        <v xml:space="preserve">     Repair and Maintenance                            </v>
      </c>
      <c r="C63" s="14"/>
      <c r="D63" s="2">
        <f>SUM(OSRRefD22_13x_0)</f>
        <v>23801.18</v>
      </c>
      <c r="E63" s="2"/>
      <c r="F63" s="6">
        <f t="shared" si="8"/>
        <v>0</v>
      </c>
      <c r="G63" s="2"/>
      <c r="H63" s="2">
        <f>SUM(OSRRefH22_13x_0)</f>
        <v>37709.269999999997</v>
      </c>
      <c r="I63" s="2"/>
      <c r="J63" s="6">
        <f t="shared" si="9"/>
        <v>0</v>
      </c>
      <c r="K63" s="2"/>
      <c r="L63" s="2">
        <f t="shared" si="10"/>
        <v>-13908.089999999997</v>
      </c>
      <c r="M63" s="2"/>
      <c r="N63" s="6">
        <f t="shared" si="11"/>
        <v>-0.36882416445611377</v>
      </c>
      <c r="O63" s="14"/>
      <c r="P63" s="2">
        <f>SUM(OSRRefP22_13x_0)</f>
        <v>165806.26</v>
      </c>
      <c r="Q63" s="2"/>
      <c r="R63" s="6">
        <f t="shared" si="12"/>
        <v>0</v>
      </c>
      <c r="S63" s="2"/>
      <c r="T63" s="2">
        <f>SUM(OSRRefT22_13x_0)</f>
        <v>178746.49</v>
      </c>
      <c r="U63" s="2"/>
      <c r="V63" s="6">
        <f t="shared" si="13"/>
        <v>0</v>
      </c>
      <c r="W63" s="2"/>
      <c r="X63" s="2">
        <f t="shared" si="14"/>
        <v>-12940.229999999981</v>
      </c>
      <c r="Y63" s="2"/>
      <c r="Z63" s="6">
        <f t="shared" si="15"/>
        <v>-7.2394316666022265E-2</v>
      </c>
    </row>
    <row r="64" spans="1:26" s="69" customFormat="1" ht="15" hidden="1" customHeight="1" outlineLevel="2" x14ac:dyDescent="0.3">
      <c r="A64" s="26"/>
      <c r="B64" s="12" t="str">
        <f>CONCATENATE("          ","6371"," - ","COMPUTER SOFTWARE MAINTENANCE")</f>
        <v xml:space="preserve">          6371 - COMPUTER SOFTWARE MAINTENANCE</v>
      </c>
      <c r="C64" s="12"/>
      <c r="D64" s="8">
        <v>10602.76</v>
      </c>
      <c r="E64" s="3"/>
      <c r="F64" s="7">
        <f t="shared" si="8"/>
        <v>0</v>
      </c>
      <c r="G64" s="3"/>
      <c r="H64" s="8">
        <v>22056.49</v>
      </c>
      <c r="I64" s="3"/>
      <c r="J64" s="7">
        <f t="shared" si="9"/>
        <v>0</v>
      </c>
      <c r="K64" s="3"/>
      <c r="L64" s="8">
        <f t="shared" si="10"/>
        <v>-11453.730000000001</v>
      </c>
      <c r="M64" s="3"/>
      <c r="N64" s="7">
        <f t="shared" si="11"/>
        <v>-0.51929069403155259</v>
      </c>
      <c r="O64" s="12"/>
      <c r="P64" s="8">
        <v>54184.6</v>
      </c>
      <c r="Q64" s="3"/>
      <c r="R64" s="7">
        <f t="shared" si="12"/>
        <v>0</v>
      </c>
      <c r="S64" s="3"/>
      <c r="T64" s="8">
        <v>52385.75</v>
      </c>
      <c r="U64" s="3"/>
      <c r="V64" s="7">
        <f t="shared" si="13"/>
        <v>0</v>
      </c>
      <c r="W64" s="3"/>
      <c r="X64" s="8">
        <f t="shared" si="14"/>
        <v>1798.8499999999985</v>
      </c>
      <c r="Y64" s="3"/>
      <c r="Z64" s="7">
        <f t="shared" si="15"/>
        <v>3.4338536720386718E-2</v>
      </c>
    </row>
    <row r="65" spans="1:26" s="69" customFormat="1" ht="15" hidden="1" customHeight="1" outlineLevel="2" x14ac:dyDescent="0.3">
      <c r="A65" s="26"/>
      <c r="B65" s="12" t="str">
        <f>CONCATENATE("          ","6372"," - ","COMPUTER HARDWARE MAINTENANCE")</f>
        <v xml:space="preserve">          6372 - COMPUTER HARDWARE MAINTENANCE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4760.47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4760.47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8">
        <v>13183</v>
      </c>
      <c r="E66" s="3"/>
      <c r="F66" s="7">
        <f t="shared" si="8"/>
        <v>0</v>
      </c>
      <c r="G66" s="3"/>
      <c r="H66" s="8">
        <v>15525.76</v>
      </c>
      <c r="I66" s="3"/>
      <c r="J66" s="7">
        <f t="shared" si="9"/>
        <v>0</v>
      </c>
      <c r="K66" s="3"/>
      <c r="L66" s="8">
        <f t="shared" si="10"/>
        <v>-2342.7600000000002</v>
      </c>
      <c r="M66" s="3"/>
      <c r="N66" s="7">
        <f t="shared" si="11"/>
        <v>-0.15089502864916116</v>
      </c>
      <c r="O66" s="12"/>
      <c r="P66" s="8">
        <v>105006.5</v>
      </c>
      <c r="Q66" s="3"/>
      <c r="R66" s="7">
        <f t="shared" si="12"/>
        <v>0</v>
      </c>
      <c r="S66" s="3"/>
      <c r="T66" s="8">
        <v>124063.43</v>
      </c>
      <c r="U66" s="3"/>
      <c r="V66" s="7">
        <f t="shared" si="13"/>
        <v>0</v>
      </c>
      <c r="W66" s="3"/>
      <c r="X66" s="8">
        <f t="shared" si="14"/>
        <v>-19056.929999999993</v>
      </c>
      <c r="Y66" s="3"/>
      <c r="Z66" s="7">
        <f t="shared" si="15"/>
        <v>-0.15360634475445337</v>
      </c>
    </row>
    <row r="67" spans="1:26" s="69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8">
        <v>15.42</v>
      </c>
      <c r="E67" s="3"/>
      <c r="F67" s="7">
        <f t="shared" si="8"/>
        <v>0</v>
      </c>
      <c r="G67" s="3"/>
      <c r="H67" s="8">
        <v>127.02</v>
      </c>
      <c r="I67" s="3"/>
      <c r="J67" s="7">
        <f t="shared" si="9"/>
        <v>0</v>
      </c>
      <c r="K67" s="3"/>
      <c r="L67" s="8">
        <f t="shared" si="10"/>
        <v>-111.6</v>
      </c>
      <c r="M67" s="3"/>
      <c r="N67" s="7">
        <f t="shared" si="11"/>
        <v>-0.87860179499291446</v>
      </c>
      <c r="O67" s="12"/>
      <c r="P67" s="8">
        <v>1854.69</v>
      </c>
      <c r="Q67" s="3"/>
      <c r="R67" s="7">
        <f t="shared" si="12"/>
        <v>0</v>
      </c>
      <c r="S67" s="3"/>
      <c r="T67" s="8">
        <v>2297.31</v>
      </c>
      <c r="U67" s="3"/>
      <c r="V67" s="7">
        <f t="shared" si="13"/>
        <v>0</v>
      </c>
      <c r="W67" s="3"/>
      <c r="X67" s="8">
        <f t="shared" si="14"/>
        <v>-442.61999999999989</v>
      </c>
      <c r="Y67" s="3"/>
      <c r="Z67" s="7">
        <f t="shared" si="15"/>
        <v>-0.19266881700771768</v>
      </c>
    </row>
    <row r="68" spans="1:26" s="68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SUM(OSRRefD22_14x_0)</f>
        <v>961.14</v>
      </c>
      <c r="E68" s="2"/>
      <c r="F68" s="6">
        <f t="shared" si="8"/>
        <v>0</v>
      </c>
      <c r="G68" s="2"/>
      <c r="H68" s="2">
        <f>SUM(OSRRefH22_14x_0)</f>
        <v>621.34</v>
      </c>
      <c r="I68" s="2"/>
      <c r="J68" s="6">
        <f t="shared" si="9"/>
        <v>0</v>
      </c>
      <c r="K68" s="2"/>
      <c r="L68" s="2">
        <f t="shared" si="10"/>
        <v>339.79999999999995</v>
      </c>
      <c r="M68" s="2"/>
      <c r="N68" s="6">
        <f t="shared" si="11"/>
        <v>0.54688254417871041</v>
      </c>
      <c r="O68" s="14"/>
      <c r="P68" s="2">
        <f>SUM(OSRRefP22_14x_0)</f>
        <v>6166.6</v>
      </c>
      <c r="Q68" s="2"/>
      <c r="R68" s="6">
        <f t="shared" si="12"/>
        <v>0</v>
      </c>
      <c r="S68" s="2"/>
      <c r="T68" s="2">
        <f>SUM(OSRRefT22_14x_0)</f>
        <v>4329.0200000000004</v>
      </c>
      <c r="U68" s="2"/>
      <c r="V68" s="6">
        <f t="shared" si="13"/>
        <v>0</v>
      </c>
      <c r="W68" s="2"/>
      <c r="X68" s="2">
        <f t="shared" si="14"/>
        <v>1837.58</v>
      </c>
      <c r="Y68" s="2"/>
      <c r="Z68" s="6">
        <f t="shared" si="15"/>
        <v>0.4244794433844149</v>
      </c>
    </row>
    <row r="69" spans="1:26" s="69" customFormat="1" ht="15" hidden="1" customHeight="1" outlineLevel="2" x14ac:dyDescent="0.3">
      <c r="A69" s="26"/>
      <c r="B69" s="12" t="str">
        <f>CONCATENATE("          ","6281"," - ","STORAGE FEE")</f>
        <v xml:space="preserve">          6281 - STORAGE FEE</v>
      </c>
      <c r="C69" s="12"/>
      <c r="D69" s="8">
        <v>961.14</v>
      </c>
      <c r="E69" s="3"/>
      <c r="F69" s="7">
        <f t="shared" si="8"/>
        <v>0</v>
      </c>
      <c r="G69" s="3"/>
      <c r="H69" s="8">
        <v>621.34</v>
      </c>
      <c r="I69" s="3"/>
      <c r="J69" s="7">
        <f t="shared" si="9"/>
        <v>0</v>
      </c>
      <c r="K69" s="3"/>
      <c r="L69" s="8">
        <f t="shared" si="10"/>
        <v>339.79999999999995</v>
      </c>
      <c r="M69" s="3"/>
      <c r="N69" s="7">
        <f t="shared" si="11"/>
        <v>0.54688254417871041</v>
      </c>
      <c r="O69" s="12"/>
      <c r="P69" s="8">
        <v>6166.6</v>
      </c>
      <c r="Q69" s="3"/>
      <c r="R69" s="7">
        <f t="shared" si="12"/>
        <v>0</v>
      </c>
      <c r="S69" s="3"/>
      <c r="T69" s="8">
        <v>4329.0200000000004</v>
      </c>
      <c r="U69" s="3"/>
      <c r="V69" s="7">
        <f t="shared" si="13"/>
        <v>0</v>
      </c>
      <c r="W69" s="3"/>
      <c r="X69" s="8">
        <f t="shared" si="14"/>
        <v>1837.58</v>
      </c>
      <c r="Y69" s="3"/>
      <c r="Z69" s="7">
        <f t="shared" si="15"/>
        <v>0.4244794433844149</v>
      </c>
    </row>
    <row r="70" spans="1:26" s="68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SUM(OSRRefD22_15x_0)</f>
        <v>1278.9000000000001</v>
      </c>
      <c r="E70" s="2"/>
      <c r="F70" s="6">
        <f t="shared" si="8"/>
        <v>0</v>
      </c>
      <c r="G70" s="2"/>
      <c r="H70" s="2">
        <f>SUM(OSRRefH22_15x_0)</f>
        <v>795</v>
      </c>
      <c r="I70" s="2"/>
      <c r="J70" s="6">
        <f t="shared" si="9"/>
        <v>0</v>
      </c>
      <c r="K70" s="2"/>
      <c r="L70" s="2">
        <f t="shared" si="10"/>
        <v>483.90000000000009</v>
      </c>
      <c r="M70" s="2"/>
      <c r="N70" s="6">
        <f t="shared" si="11"/>
        <v>0.60867924528301898</v>
      </c>
      <c r="O70" s="14"/>
      <c r="P70" s="2">
        <f>SUM(OSRRefP22_15x_0)</f>
        <v>3730.9</v>
      </c>
      <c r="Q70" s="2"/>
      <c r="R70" s="6">
        <f t="shared" si="12"/>
        <v>0</v>
      </c>
      <c r="S70" s="2"/>
      <c r="T70" s="2">
        <f>SUM(OSRRefT22_15x_0)</f>
        <v>3054.99</v>
      </c>
      <c r="U70" s="2"/>
      <c r="V70" s="6">
        <f t="shared" si="13"/>
        <v>0</v>
      </c>
      <c r="W70" s="2"/>
      <c r="X70" s="2">
        <f t="shared" si="14"/>
        <v>675.91000000000031</v>
      </c>
      <c r="Y70" s="2"/>
      <c r="Z70" s="6">
        <f t="shared" si="15"/>
        <v>0.22124786005846184</v>
      </c>
    </row>
    <row r="71" spans="1:26" s="69" customFormat="1" ht="15" hidden="1" customHeight="1" outlineLevel="2" x14ac:dyDescent="0.3">
      <c r="A71" s="26"/>
      <c r="B71" s="12" t="str">
        <f>CONCATENATE("          ","6258"," - ","MEMBERSHIP DUES")</f>
        <v xml:space="preserve">          6258 - MEMBERSHIP DUES</v>
      </c>
      <c r="C71" s="12"/>
      <c r="D71" s="8">
        <v>0</v>
      </c>
      <c r="E71" s="3"/>
      <c r="F71" s="7">
        <f t="shared" si="8"/>
        <v>0</v>
      </c>
      <c r="G71" s="3"/>
      <c r="H71" s="8">
        <v>795</v>
      </c>
      <c r="I71" s="3"/>
      <c r="J71" s="7">
        <f t="shared" si="9"/>
        <v>0</v>
      </c>
      <c r="K71" s="3"/>
      <c r="L71" s="8">
        <f t="shared" si="10"/>
        <v>-795</v>
      </c>
      <c r="M71" s="3"/>
      <c r="N71" s="7">
        <f t="shared" si="11"/>
        <v>-1</v>
      </c>
      <c r="O71" s="12"/>
      <c r="P71" s="8">
        <v>2452</v>
      </c>
      <c r="Q71" s="3"/>
      <c r="R71" s="7">
        <f t="shared" si="12"/>
        <v>0</v>
      </c>
      <c r="S71" s="3"/>
      <c r="T71" s="8">
        <v>3054.99</v>
      </c>
      <c r="U71" s="3"/>
      <c r="V71" s="7">
        <f t="shared" si="13"/>
        <v>0</v>
      </c>
      <c r="W71" s="3"/>
      <c r="X71" s="8">
        <f t="shared" si="14"/>
        <v>-602.98999999999978</v>
      </c>
      <c r="Y71" s="3"/>
      <c r="Z71" s="7">
        <f t="shared" si="15"/>
        <v>-0.19737871482394373</v>
      </c>
    </row>
    <row r="72" spans="1:26" s="69" customFormat="1" ht="15" hidden="1" customHeight="1" outlineLevel="2" x14ac:dyDescent="0.3">
      <c r="A72" s="26"/>
      <c r="B72" s="12" t="str">
        <f>CONCATENATE("          ","6275"," - ","SUBSCRIPTIONS")</f>
        <v xml:space="preserve">          6275 - SUBSCRIPTIONS</v>
      </c>
      <c r="C72" s="12"/>
      <c r="D72" s="8">
        <v>1278.9000000000001</v>
      </c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1278.9000000000001</v>
      </c>
      <c r="M72" s="3"/>
      <c r="N72" s="7">
        <f t="shared" si="11"/>
        <v>0</v>
      </c>
      <c r="O72" s="12"/>
      <c r="P72" s="8">
        <v>1278.9000000000001</v>
      </c>
      <c r="Q72" s="3"/>
      <c r="R72" s="7">
        <f t="shared" si="12"/>
        <v>0</v>
      </c>
      <c r="S72" s="3"/>
      <c r="T72" s="8"/>
      <c r="U72" s="3"/>
      <c r="V72" s="7">
        <f t="shared" si="13"/>
        <v>0</v>
      </c>
      <c r="W72" s="3"/>
      <c r="X72" s="8">
        <f t="shared" si="14"/>
        <v>1278.9000000000001</v>
      </c>
      <c r="Y72" s="3"/>
      <c r="Z72" s="7">
        <f t="shared" si="15"/>
        <v>0</v>
      </c>
    </row>
    <row r="73" spans="1:26" s="68" customFormat="1" ht="15" customHeight="1" outlineLevel="1" collapsed="1" x14ac:dyDescent="0.3">
      <c r="A73" s="25"/>
      <c r="B73" s="14" t="str">
        <f>CONCATENATE("     ","Supplies                                          ")</f>
        <v xml:space="preserve">     Supplies                                          </v>
      </c>
      <c r="C73" s="14"/>
      <c r="D73" s="2">
        <f>SUM(OSRRefD22_16x_0)</f>
        <v>24478.02</v>
      </c>
      <c r="E73" s="2"/>
      <c r="F73" s="6">
        <f t="shared" si="8"/>
        <v>0</v>
      </c>
      <c r="G73" s="2"/>
      <c r="H73" s="2">
        <f>SUM(OSRRefH22_16x_0)</f>
        <v>2119</v>
      </c>
      <c r="I73" s="2"/>
      <c r="J73" s="6">
        <f t="shared" si="9"/>
        <v>0</v>
      </c>
      <c r="K73" s="2"/>
      <c r="L73" s="2">
        <f t="shared" si="10"/>
        <v>22359.02</v>
      </c>
      <c r="M73" s="2"/>
      <c r="N73" s="6">
        <f t="shared" si="11"/>
        <v>10.551684756960832</v>
      </c>
      <c r="O73" s="14"/>
      <c r="P73" s="2">
        <f>SUM(OSRRefP22_16x_0)</f>
        <v>39264.47</v>
      </c>
      <c r="Q73" s="2"/>
      <c r="R73" s="6">
        <f t="shared" si="12"/>
        <v>0</v>
      </c>
      <c r="S73" s="2"/>
      <c r="T73" s="2">
        <f>SUM(OSRRefT22_16x_0)</f>
        <v>2908.0699999999997</v>
      </c>
      <c r="U73" s="2"/>
      <c r="V73" s="6">
        <f t="shared" si="13"/>
        <v>0</v>
      </c>
      <c r="W73" s="2"/>
      <c r="X73" s="2">
        <f t="shared" si="14"/>
        <v>36356.400000000001</v>
      </c>
      <c r="Y73" s="2"/>
      <c r="Z73" s="6">
        <f t="shared" si="15"/>
        <v>12.501899885491067</v>
      </c>
    </row>
    <row r="74" spans="1:26" s="69" customFormat="1" ht="15" hidden="1" customHeight="1" outlineLevel="2" x14ac:dyDescent="0.3">
      <c r="A74" s="26"/>
      <c r="B74" s="12" t="str">
        <f>CONCATENATE("          ","6234"," - ","EXPENDABLE SUPPLIES &amp; EQUIPMEN")</f>
        <v xml:space="preserve">          6234 - EXPENDABLE SUPPLIES &amp; EQUIPMEN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26.1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26.1</v>
      </c>
      <c r="Y74" s="3"/>
      <c r="Z74" s="7">
        <f t="shared" si="15"/>
        <v>0</v>
      </c>
    </row>
    <row r="75" spans="1:26" s="69" customFormat="1" ht="15" hidden="1" customHeight="1" outlineLevel="2" x14ac:dyDescent="0.3">
      <c r="A75" s="26"/>
      <c r="B75" s="12" t="str">
        <f>CONCATENATE("          ","6235"," - ","COVID-19 EXPENSES")</f>
        <v xml:space="preserve">          6235 - COVID-19 EXPENSES</v>
      </c>
      <c r="C75" s="12"/>
      <c r="D75" s="8">
        <v>188.36</v>
      </c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188.36</v>
      </c>
      <c r="M75" s="3"/>
      <c r="N75" s="7">
        <f t="shared" si="11"/>
        <v>0</v>
      </c>
      <c r="O75" s="12"/>
      <c r="P75" s="8">
        <v>2636.13</v>
      </c>
      <c r="Q75" s="3"/>
      <c r="R75" s="7">
        <f t="shared" si="12"/>
        <v>0</v>
      </c>
      <c r="S75" s="3"/>
      <c r="T75" s="8">
        <v>810.3</v>
      </c>
      <c r="U75" s="3"/>
      <c r="V75" s="7">
        <f t="shared" si="13"/>
        <v>0</v>
      </c>
      <c r="W75" s="3"/>
      <c r="X75" s="8">
        <f t="shared" si="14"/>
        <v>1825.8300000000002</v>
      </c>
      <c r="Y75" s="3"/>
      <c r="Z75" s="7">
        <f t="shared" si="15"/>
        <v>2.2532765642354686</v>
      </c>
    </row>
    <row r="76" spans="1:26" s="69" customFormat="1" ht="15" hidden="1" customHeight="1" outlineLevel="2" x14ac:dyDescent="0.3">
      <c r="A76" s="26"/>
      <c r="B76" s="12" t="str">
        <f>CONCATENATE("          ","6241"," - ","OFFICE EXPENSE")</f>
        <v xml:space="preserve">          6241 - OFFICE EXPENSE</v>
      </c>
      <c r="C76" s="12"/>
      <c r="D76" s="8">
        <v>15738.06</v>
      </c>
      <c r="E76" s="3"/>
      <c r="F76" s="7">
        <f t="shared" si="8"/>
        <v>0</v>
      </c>
      <c r="G76" s="3"/>
      <c r="H76" s="8">
        <v>2119</v>
      </c>
      <c r="I76" s="3"/>
      <c r="J76" s="7">
        <f t="shared" si="9"/>
        <v>0</v>
      </c>
      <c r="K76" s="3"/>
      <c r="L76" s="8">
        <f t="shared" si="10"/>
        <v>13619.06</v>
      </c>
      <c r="M76" s="3"/>
      <c r="N76" s="7">
        <f t="shared" si="11"/>
        <v>6.4271165644171777</v>
      </c>
      <c r="O76" s="12"/>
      <c r="P76" s="8">
        <v>24665.95</v>
      </c>
      <c r="Q76" s="3"/>
      <c r="R76" s="7">
        <f t="shared" si="12"/>
        <v>0</v>
      </c>
      <c r="S76" s="3"/>
      <c r="T76" s="8">
        <v>1875.06</v>
      </c>
      <c r="U76" s="3"/>
      <c r="V76" s="7">
        <f t="shared" si="13"/>
        <v>0</v>
      </c>
      <c r="W76" s="3"/>
      <c r="X76" s="8">
        <f t="shared" si="14"/>
        <v>22790.89</v>
      </c>
      <c r="Y76" s="3"/>
      <c r="Z76" s="7">
        <f t="shared" si="15"/>
        <v>12.154752381257133</v>
      </c>
    </row>
    <row r="77" spans="1:26" s="69" customFormat="1" ht="15" hidden="1" customHeight="1" outlineLevel="2" x14ac:dyDescent="0.3">
      <c r="A77" s="26"/>
      <c r="B77" s="12" t="str">
        <f>CONCATENATE("          ","6244"," - ","SAFETY SUPPLY EXPENSE")</f>
        <v xml:space="preserve">          6244 - SAFETY SUPPLY EXPENSE</v>
      </c>
      <c r="C77" s="12"/>
      <c r="D77" s="8">
        <v>50</v>
      </c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50</v>
      </c>
      <c r="M77" s="3"/>
      <c r="N77" s="7">
        <f t="shared" si="11"/>
        <v>0</v>
      </c>
      <c r="O77" s="12"/>
      <c r="P77" s="8">
        <v>650</v>
      </c>
      <c r="Q77" s="3"/>
      <c r="R77" s="7">
        <f t="shared" si="12"/>
        <v>0</v>
      </c>
      <c r="S77" s="3"/>
      <c r="T77" s="8">
        <v>222.71</v>
      </c>
      <c r="U77" s="3"/>
      <c r="V77" s="7">
        <f t="shared" si="13"/>
        <v>0</v>
      </c>
      <c r="W77" s="3"/>
      <c r="X77" s="8">
        <f t="shared" si="14"/>
        <v>427.28999999999996</v>
      </c>
      <c r="Y77" s="3"/>
      <c r="Z77" s="7">
        <f t="shared" si="15"/>
        <v>1.9185936868573479</v>
      </c>
    </row>
    <row r="78" spans="1:26" s="69" customFormat="1" ht="15" hidden="1" customHeight="1" outlineLevel="2" x14ac:dyDescent="0.3">
      <c r="A78" s="26"/>
      <c r="B78" s="12" t="str">
        <f>CONCATENATE("          ","6248"," - ","UNIFORMS")</f>
        <v xml:space="preserve">          6248 - UNIFORMS</v>
      </c>
      <c r="C78" s="12"/>
      <c r="D78" s="8">
        <v>8501.6</v>
      </c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8501.6</v>
      </c>
      <c r="M78" s="3"/>
      <c r="N78" s="7">
        <f t="shared" si="11"/>
        <v>0</v>
      </c>
      <c r="O78" s="12"/>
      <c r="P78" s="8">
        <v>11286.29</v>
      </c>
      <c r="Q78" s="3"/>
      <c r="R78" s="7">
        <f t="shared" si="12"/>
        <v>0</v>
      </c>
      <c r="S78" s="3"/>
      <c r="T78" s="8"/>
      <c r="U78" s="3"/>
      <c r="V78" s="7">
        <f t="shared" si="13"/>
        <v>0</v>
      </c>
      <c r="W78" s="3"/>
      <c r="X78" s="8">
        <f t="shared" si="14"/>
        <v>11286.29</v>
      </c>
      <c r="Y78" s="3"/>
      <c r="Z78" s="7">
        <f t="shared" si="15"/>
        <v>0</v>
      </c>
    </row>
    <row r="79" spans="1:26" s="68" customFormat="1" ht="15" customHeight="1" outlineLevel="1" collapsed="1" x14ac:dyDescent="0.3">
      <c r="A79" s="25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SUM(OSRRefD22_17x_0)</f>
        <v>2530.8900000000003</v>
      </c>
      <c r="E79" s="2"/>
      <c r="F79" s="6">
        <f t="shared" si="8"/>
        <v>0</v>
      </c>
      <c r="G79" s="2"/>
      <c r="H79" s="2">
        <f>SUM(OSRRefH22_17x_0)</f>
        <v>2681.8799999999997</v>
      </c>
      <c r="I79" s="2"/>
      <c r="J79" s="6">
        <f t="shared" si="9"/>
        <v>0</v>
      </c>
      <c r="K79" s="2"/>
      <c r="L79" s="2">
        <f t="shared" si="10"/>
        <v>-150.98999999999933</v>
      </c>
      <c r="M79" s="2"/>
      <c r="N79" s="6">
        <f t="shared" si="11"/>
        <v>-5.6300058168150459E-2</v>
      </c>
      <c r="O79" s="14"/>
      <c r="P79" s="2">
        <f>SUM(OSRRefP22_17x_0)</f>
        <v>18721.7</v>
      </c>
      <c r="Q79" s="2"/>
      <c r="R79" s="6">
        <f t="shared" si="12"/>
        <v>0</v>
      </c>
      <c r="S79" s="2"/>
      <c r="T79" s="2">
        <f>SUM(OSRRefT22_17x_0)</f>
        <v>17351.02</v>
      </c>
      <c r="U79" s="2"/>
      <c r="V79" s="6">
        <f t="shared" si="13"/>
        <v>0</v>
      </c>
      <c r="W79" s="2"/>
      <c r="X79" s="2">
        <f t="shared" si="14"/>
        <v>1370.6800000000003</v>
      </c>
      <c r="Y79" s="2"/>
      <c r="Z79" s="6">
        <f t="shared" si="15"/>
        <v>7.8997084897602571E-2</v>
      </c>
    </row>
    <row r="80" spans="1:26" s="69" customFormat="1" ht="15" hidden="1" customHeight="1" outlineLevel="2" x14ac:dyDescent="0.3">
      <c r="A80" s="26"/>
      <c r="B80" s="12" t="str">
        <f>CONCATENATE("          ","6303"," - ","DATA PHONE LINES")</f>
        <v xml:space="preserve">          6303 - DATA PHONE LINES</v>
      </c>
      <c r="C80" s="12"/>
      <c r="D80" s="8">
        <v>260.97000000000003</v>
      </c>
      <c r="E80" s="3"/>
      <c r="F80" s="7">
        <f t="shared" si="8"/>
        <v>0</v>
      </c>
      <c r="G80" s="3"/>
      <c r="H80" s="8">
        <v>78.989999999999995</v>
      </c>
      <c r="I80" s="3"/>
      <c r="J80" s="7">
        <f t="shared" si="9"/>
        <v>0</v>
      </c>
      <c r="K80" s="3"/>
      <c r="L80" s="8">
        <f t="shared" si="10"/>
        <v>181.98000000000002</v>
      </c>
      <c r="M80" s="3"/>
      <c r="N80" s="7">
        <f t="shared" si="11"/>
        <v>2.303835928598557</v>
      </c>
      <c r="O80" s="12"/>
      <c r="P80" s="8">
        <v>1342.84</v>
      </c>
      <c r="Q80" s="3"/>
      <c r="R80" s="7">
        <f t="shared" si="12"/>
        <v>0</v>
      </c>
      <c r="S80" s="3"/>
      <c r="T80" s="8">
        <v>1002.87</v>
      </c>
      <c r="U80" s="3"/>
      <c r="V80" s="7">
        <f t="shared" si="13"/>
        <v>0</v>
      </c>
      <c r="W80" s="3"/>
      <c r="X80" s="8">
        <f t="shared" si="14"/>
        <v>339.96999999999991</v>
      </c>
      <c r="Y80" s="3"/>
      <c r="Z80" s="7">
        <f t="shared" si="15"/>
        <v>0.33899707838503484</v>
      </c>
    </row>
    <row r="81" spans="1:26" s="69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8">
        <v>2269.92</v>
      </c>
      <c r="E81" s="3"/>
      <c r="F81" s="7">
        <f t="shared" si="8"/>
        <v>0</v>
      </c>
      <c r="G81" s="3"/>
      <c r="H81" s="8">
        <v>2602.89</v>
      </c>
      <c r="I81" s="3"/>
      <c r="J81" s="7">
        <f t="shared" si="9"/>
        <v>0</v>
      </c>
      <c r="K81" s="3"/>
      <c r="L81" s="8">
        <f t="shared" si="10"/>
        <v>-332.9699999999998</v>
      </c>
      <c r="M81" s="3"/>
      <c r="N81" s="7">
        <f t="shared" si="11"/>
        <v>-0.1279231930661687</v>
      </c>
      <c r="O81" s="12"/>
      <c r="P81" s="8">
        <v>17378.86</v>
      </c>
      <c r="Q81" s="3"/>
      <c r="R81" s="7">
        <f t="shared" si="12"/>
        <v>0</v>
      </c>
      <c r="S81" s="3"/>
      <c r="T81" s="8">
        <v>16348.15</v>
      </c>
      <c r="U81" s="3"/>
      <c r="V81" s="7">
        <f t="shared" si="13"/>
        <v>0</v>
      </c>
      <c r="W81" s="3"/>
      <c r="X81" s="8">
        <f t="shared" si="14"/>
        <v>1030.7100000000009</v>
      </c>
      <c r="Y81" s="3"/>
      <c r="Z81" s="7">
        <f t="shared" si="15"/>
        <v>6.3047500787550947E-2</v>
      </c>
    </row>
    <row r="82" spans="1:26" s="68" customFormat="1" ht="15" customHeight="1" outlineLevel="1" collapsed="1" x14ac:dyDescent="0.3">
      <c r="A82" s="25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SUM(OSRRefD22_18x_0)</f>
        <v>0</v>
      </c>
      <c r="E82" s="2"/>
      <c r="F82" s="6">
        <f t="shared" si="8"/>
        <v>0</v>
      </c>
      <c r="G82" s="2"/>
      <c r="H82" s="2">
        <f>SUM(OSRRefH22_18x_0)</f>
        <v>150</v>
      </c>
      <c r="I82" s="2"/>
      <c r="J82" s="6">
        <f t="shared" si="9"/>
        <v>0</v>
      </c>
      <c r="K82" s="2"/>
      <c r="L82" s="2">
        <f t="shared" si="10"/>
        <v>-150</v>
      </c>
      <c r="M82" s="2"/>
      <c r="N82" s="6">
        <f t="shared" si="11"/>
        <v>-1</v>
      </c>
      <c r="O82" s="14"/>
      <c r="P82" s="2">
        <f>SUM(OSRRefP22_18x_0)</f>
        <v>1764</v>
      </c>
      <c r="Q82" s="2"/>
      <c r="R82" s="6">
        <f t="shared" si="12"/>
        <v>0</v>
      </c>
      <c r="S82" s="2"/>
      <c r="T82" s="2">
        <f>SUM(OSRRefT22_18x_0)</f>
        <v>1826.5</v>
      </c>
      <c r="U82" s="2"/>
      <c r="V82" s="6">
        <f t="shared" si="13"/>
        <v>0</v>
      </c>
      <c r="W82" s="2"/>
      <c r="X82" s="2">
        <f t="shared" si="14"/>
        <v>-62.5</v>
      </c>
      <c r="Y82" s="2"/>
      <c r="Z82" s="6">
        <f t="shared" si="15"/>
        <v>-3.4218450588557353E-2</v>
      </c>
    </row>
    <row r="83" spans="1:26" s="69" customFormat="1" ht="15" hidden="1" customHeight="1" outlineLevel="2" x14ac:dyDescent="0.3">
      <c r="A83" s="26"/>
      <c r="B83" s="12" t="str">
        <f>CONCATENATE("          ","6376"," - ","TRAINING")</f>
        <v xml:space="preserve">          6376 - TRAINING</v>
      </c>
      <c r="C83" s="12"/>
      <c r="D83" s="8"/>
      <c r="E83" s="3"/>
      <c r="F83" s="7">
        <f t="shared" si="8"/>
        <v>0</v>
      </c>
      <c r="G83" s="3"/>
      <c r="H83" s="8">
        <v>150</v>
      </c>
      <c r="I83" s="3"/>
      <c r="J83" s="7">
        <f t="shared" si="9"/>
        <v>0</v>
      </c>
      <c r="K83" s="3"/>
      <c r="L83" s="8">
        <f t="shared" si="10"/>
        <v>-150</v>
      </c>
      <c r="M83" s="3"/>
      <c r="N83" s="7">
        <f t="shared" si="11"/>
        <v>-1</v>
      </c>
      <c r="O83" s="12"/>
      <c r="P83" s="8">
        <v>1764</v>
      </c>
      <c r="Q83" s="3"/>
      <c r="R83" s="7">
        <f t="shared" si="12"/>
        <v>0</v>
      </c>
      <c r="S83" s="3"/>
      <c r="T83" s="8">
        <v>1826.5</v>
      </c>
      <c r="U83" s="3"/>
      <c r="V83" s="7">
        <f t="shared" si="13"/>
        <v>0</v>
      </c>
      <c r="W83" s="3"/>
      <c r="X83" s="8">
        <f t="shared" si="14"/>
        <v>-62.5</v>
      </c>
      <c r="Y83" s="3"/>
      <c r="Z83" s="7">
        <f t="shared" si="15"/>
        <v>-3.4218450588557353E-2</v>
      </c>
    </row>
    <row r="84" spans="1:26" s="68" customFormat="1" ht="15" customHeight="1" outlineLevel="1" collapsed="1" x14ac:dyDescent="0.3">
      <c r="A84" s="25"/>
      <c r="B84" s="14" t="str">
        <f>CONCATENATE("     ","Travel                                            ")</f>
        <v xml:space="preserve">     Travel                                            </v>
      </c>
      <c r="C84" s="14"/>
      <c r="D84" s="2">
        <f>SUM(OSRRefD22_19x_0)</f>
        <v>0</v>
      </c>
      <c r="E84" s="2"/>
      <c r="F84" s="6">
        <f t="shared" si="8"/>
        <v>0</v>
      </c>
      <c r="G84" s="2"/>
      <c r="H84" s="2">
        <f>SUM(OSRRefH22_19x_0)</f>
        <v>0</v>
      </c>
      <c r="I84" s="2"/>
      <c r="J84" s="6">
        <f t="shared" si="9"/>
        <v>0</v>
      </c>
      <c r="K84" s="2"/>
      <c r="L84" s="2">
        <f t="shared" si="10"/>
        <v>0</v>
      </c>
      <c r="M84" s="2"/>
      <c r="N84" s="6">
        <f t="shared" si="11"/>
        <v>0</v>
      </c>
      <c r="O84" s="14"/>
      <c r="P84" s="2">
        <f>SUM(OSRRefP22_19x_0)</f>
        <v>30.4</v>
      </c>
      <c r="Q84" s="2"/>
      <c r="R84" s="6">
        <f t="shared" si="12"/>
        <v>0</v>
      </c>
      <c r="S84" s="2"/>
      <c r="T84" s="2">
        <f>SUM(OSRRefT22_19x_0)</f>
        <v>787.81999999999994</v>
      </c>
      <c r="U84" s="2"/>
      <c r="V84" s="6">
        <f t="shared" si="13"/>
        <v>0</v>
      </c>
      <c r="W84" s="2"/>
      <c r="X84" s="2">
        <f t="shared" si="14"/>
        <v>-757.42</v>
      </c>
      <c r="Y84" s="2"/>
      <c r="Z84" s="6">
        <f t="shared" si="15"/>
        <v>-0.9614125053946333</v>
      </c>
    </row>
    <row r="85" spans="1:26" s="69" customFormat="1" ht="15" hidden="1" customHeight="1" outlineLevel="2" x14ac:dyDescent="0.3">
      <c r="A85" s="26"/>
      <c r="B85" s="12" t="str">
        <f>CONCATENATE("          ","6292"," - ","TRAVEL/CONFERENCE")</f>
        <v xml:space="preserve">          6292 - TRAVEL/CONFERENCE</v>
      </c>
      <c r="C85" s="12"/>
      <c r="D85" s="8"/>
      <c r="E85" s="3"/>
      <c r="F85" s="7">
        <f t="shared" si="8"/>
        <v>0</v>
      </c>
      <c r="G85" s="3"/>
      <c r="H85" s="8"/>
      <c r="I85" s="3"/>
      <c r="J85" s="7">
        <f t="shared" si="9"/>
        <v>0</v>
      </c>
      <c r="K85" s="3"/>
      <c r="L85" s="8">
        <f t="shared" si="10"/>
        <v>0</v>
      </c>
      <c r="M85" s="3"/>
      <c r="N85" s="7">
        <f t="shared" si="11"/>
        <v>0</v>
      </c>
      <c r="O85" s="12"/>
      <c r="P85" s="8">
        <v>0</v>
      </c>
      <c r="Q85" s="3"/>
      <c r="R85" s="7">
        <f t="shared" si="12"/>
        <v>0</v>
      </c>
      <c r="S85" s="3"/>
      <c r="T85" s="8">
        <v>720</v>
      </c>
      <c r="U85" s="3"/>
      <c r="V85" s="7">
        <f t="shared" si="13"/>
        <v>0</v>
      </c>
      <c r="W85" s="3"/>
      <c r="X85" s="8">
        <f t="shared" si="14"/>
        <v>-720</v>
      </c>
      <c r="Y85" s="3"/>
      <c r="Z85" s="7">
        <f t="shared" si="15"/>
        <v>-1</v>
      </c>
    </row>
    <row r="86" spans="1:26" s="69" customFormat="1" ht="15" hidden="1" customHeight="1" outlineLevel="2" x14ac:dyDescent="0.3">
      <c r="A86" s="26"/>
      <c r="B86" s="12" t="str">
        <f>CONCATENATE("          ","6294"," - ","TRAVEL OPERATIONAL")</f>
        <v xml:space="preserve">          6294 - TRAVEL OPERATIONAL</v>
      </c>
      <c r="C86" s="12"/>
      <c r="D86" s="8"/>
      <c r="E86" s="3"/>
      <c r="F86" s="7">
        <f t="shared" si="8"/>
        <v>0</v>
      </c>
      <c r="G86" s="3"/>
      <c r="H86" s="8"/>
      <c r="I86" s="3"/>
      <c r="J86" s="7">
        <f t="shared" si="9"/>
        <v>0</v>
      </c>
      <c r="K86" s="3"/>
      <c r="L86" s="8">
        <f t="shared" si="10"/>
        <v>0</v>
      </c>
      <c r="M86" s="3"/>
      <c r="N86" s="7">
        <f t="shared" si="11"/>
        <v>0</v>
      </c>
      <c r="O86" s="12"/>
      <c r="P86" s="8">
        <v>30.4</v>
      </c>
      <c r="Q86" s="3"/>
      <c r="R86" s="7">
        <f t="shared" si="12"/>
        <v>0</v>
      </c>
      <c r="S86" s="3"/>
      <c r="T86" s="8">
        <v>67.819999999999993</v>
      </c>
      <c r="U86" s="3"/>
      <c r="V86" s="7">
        <f t="shared" si="13"/>
        <v>0</v>
      </c>
      <c r="W86" s="3"/>
      <c r="X86" s="8">
        <f t="shared" si="14"/>
        <v>-37.419999999999995</v>
      </c>
      <c r="Y86" s="3"/>
      <c r="Z86" s="7">
        <f t="shared" si="15"/>
        <v>-0.5517546446475966</v>
      </c>
    </row>
    <row r="87" spans="1:26" s="64" customFormat="1" ht="15" customHeight="1" x14ac:dyDescent="0.3">
      <c r="A87" s="36"/>
      <c r="B87" s="36"/>
      <c r="C87" s="36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7" t="s">
        <v>290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291</v>
      </c>
      <c r="C90" s="28"/>
      <c r="D90" s="23">
        <f>+D16-D18+D88</f>
        <v>-237459.55000000005</v>
      </c>
      <c r="E90" s="15"/>
      <c r="F90" s="22">
        <f>IF(D$12=0,0,D90/D$12)</f>
        <v>0</v>
      </c>
      <c r="G90" s="15"/>
      <c r="H90" s="23">
        <f>+H16-H18+H88</f>
        <v>-217201.57</v>
      </c>
      <c r="I90" s="15"/>
      <c r="J90" s="22">
        <f>IF(H$12=0,0,H90/H$12)</f>
        <v>0</v>
      </c>
      <c r="K90" s="17"/>
      <c r="L90" s="23">
        <f>+D90-H90</f>
        <v>-20257.98000000004</v>
      </c>
      <c r="M90" s="17"/>
      <c r="N90" s="22">
        <f>IF(H90=0,0,L90/H90)</f>
        <v>9.3268110354819439E-2</v>
      </c>
      <c r="O90" s="27"/>
      <c r="P90" s="23">
        <f>+P16-P18+P88</f>
        <v>-1953036.5999999999</v>
      </c>
      <c r="Q90" s="15"/>
      <c r="R90" s="22">
        <f>IF(P$12=0,0,P90/P$12)</f>
        <v>0</v>
      </c>
      <c r="S90" s="15"/>
      <c r="T90" s="23">
        <f>+T16-T18+T88</f>
        <v>-1416230.2300000004</v>
      </c>
      <c r="U90" s="15"/>
      <c r="V90" s="22">
        <f>IF(T$12=0,0,T90/T$12)</f>
        <v>0</v>
      </c>
      <c r="W90" s="17"/>
      <c r="X90" s="23">
        <f>+P90-T90</f>
        <v>-536806.36999999941</v>
      </c>
      <c r="Y90" s="17"/>
      <c r="Z90" s="22">
        <f>IF(T90=0,0,X90/T90)</f>
        <v>0.37903891516282578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48"/>
      <c r="B92" s="11" t="s">
        <v>292</v>
      </c>
      <c r="C92" s="11"/>
      <c r="D92" s="5"/>
      <c r="E92" s="5"/>
      <c r="F92" s="13">
        <f>IF(D$12=0,0,D92/D$12)</f>
        <v>0</v>
      </c>
      <c r="G92" s="5"/>
      <c r="H92" s="5"/>
      <c r="I92" s="5"/>
      <c r="J92" s="13">
        <f>IF(H$12=0,0,H92/H$12)</f>
        <v>0</v>
      </c>
      <c r="K92" s="5"/>
      <c r="L92" s="5">
        <f>+D92-H92</f>
        <v>0</v>
      </c>
      <c r="M92" s="5"/>
      <c r="N92" s="13">
        <f>IF(H92=0,0,L92/H92)</f>
        <v>0</v>
      </c>
      <c r="O92" s="11"/>
      <c r="P92" s="5"/>
      <c r="Q92" s="5"/>
      <c r="R92" s="13">
        <f>IF(P$12=0,0,P92/P$12)</f>
        <v>0</v>
      </c>
      <c r="S92" s="5"/>
      <c r="T92" s="5"/>
      <c r="U92" s="5"/>
      <c r="V92" s="13">
        <f>IF(T$12=0,0,T92/T$12)</f>
        <v>0</v>
      </c>
      <c r="W92" s="5"/>
      <c r="X92" s="5">
        <f>+P92-T92</f>
        <v>0</v>
      </c>
      <c r="Y92" s="5"/>
      <c r="Z92" s="13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8" t="s">
        <v>293</v>
      </c>
      <c r="C94" s="28"/>
      <c r="D94" s="33">
        <f>+D90-D92</f>
        <v>-237459.55000000005</v>
      </c>
      <c r="E94" s="15"/>
      <c r="F94" s="34">
        <f>IF(D$12=0,0,D94/D$12)</f>
        <v>0</v>
      </c>
      <c r="G94" s="15"/>
      <c r="H94" s="33">
        <f>+H90-H92</f>
        <v>-217201.57</v>
      </c>
      <c r="I94" s="15"/>
      <c r="J94" s="34">
        <f>IF(H$12=0,0,H94/H$12)</f>
        <v>0</v>
      </c>
      <c r="K94" s="17"/>
      <c r="L94" s="33">
        <f>D94-H94</f>
        <v>-20257.98000000004</v>
      </c>
      <c r="M94" s="17"/>
      <c r="N94" s="34">
        <f>IF(H94=0,0,L94/H94)</f>
        <v>9.3268110354819439E-2</v>
      </c>
      <c r="O94" s="27"/>
      <c r="P94" s="33">
        <f>+P90-P92</f>
        <v>-1953036.5999999999</v>
      </c>
      <c r="Q94" s="15"/>
      <c r="R94" s="34">
        <f>IF(P$12=0,0,P94/P$12)</f>
        <v>0</v>
      </c>
      <c r="S94" s="15"/>
      <c r="T94" s="33">
        <f>+T90-T92</f>
        <v>-1416230.2300000004</v>
      </c>
      <c r="U94" s="15"/>
      <c r="V94" s="34">
        <f>IF(T$12=0,0,T94/T$12)</f>
        <v>0</v>
      </c>
      <c r="W94" s="17"/>
      <c r="X94" s="33">
        <f>P94-T94</f>
        <v>-536806.36999999941</v>
      </c>
      <c r="Y94" s="17"/>
      <c r="Z94" s="34">
        <f>IF(T94=0,0,X94/T94)</f>
        <v>0.37903891516282578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11"/>
      <c r="B97" s="28" t="s">
        <v>296</v>
      </c>
      <c r="C97" s="28"/>
      <c r="D97" s="35">
        <f>SUM(D94:D96)</f>
        <v>-237459.55000000005</v>
      </c>
      <c r="E97" s="15"/>
      <c r="F97" s="29">
        <f>IF(D$12=0,0,D97/D$12)</f>
        <v>0</v>
      </c>
      <c r="G97" s="15"/>
      <c r="H97" s="35">
        <f>SUM(H94:H96)</f>
        <v>-217201.57</v>
      </c>
      <c r="I97" s="15"/>
      <c r="J97" s="29">
        <f>IF(H$12=0,0,H97/H$12)</f>
        <v>0</v>
      </c>
      <c r="K97" s="17"/>
      <c r="L97" s="35">
        <f>+D97-H97</f>
        <v>-20257.98000000004</v>
      </c>
      <c r="M97" s="17"/>
      <c r="N97" s="29">
        <f>IF(H97=0,0,L97/H97)</f>
        <v>9.3268110354819439E-2</v>
      </c>
      <c r="O97" s="27"/>
      <c r="P97" s="35">
        <f>SUM(P94:P96)</f>
        <v>-1953036.5999999999</v>
      </c>
      <c r="Q97" s="15"/>
      <c r="R97" s="29">
        <f>IF(P$12=0,0,P97/P$12)</f>
        <v>0</v>
      </c>
      <c r="S97" s="15"/>
      <c r="T97" s="35">
        <f>SUM(T94:T96)</f>
        <v>-1416230.2300000004</v>
      </c>
      <c r="U97" s="15"/>
      <c r="V97" s="29">
        <f>IF(T$12=0,0,T97/T$12)</f>
        <v>0</v>
      </c>
      <c r="W97" s="17"/>
      <c r="X97" s="35">
        <f>+P97-T97</f>
        <v>-536806.36999999941</v>
      </c>
      <c r="Y97" s="17"/>
      <c r="Z97" s="29">
        <f>IF(T97=0,0,X97/T97)</f>
        <v>0.37903891516282578</v>
      </c>
    </row>
    <row r="98" spans="1:26" ht="15" customHeight="1" x14ac:dyDescent="0.3">
      <c r="A98" s="10"/>
      <c r="C98" s="10"/>
      <c r="D98" s="18"/>
      <c r="E98" s="18"/>
      <c r="G98" s="18"/>
      <c r="H98" s="18"/>
      <c r="I98" s="18"/>
      <c r="J98" s="41"/>
      <c r="K98" s="18"/>
      <c r="L98" s="18"/>
      <c r="M98" s="18"/>
      <c r="P98" s="18"/>
      <c r="Q98" s="18"/>
      <c r="R98" s="41"/>
      <c r="S98" s="18"/>
      <c r="T98" s="18"/>
      <c r="U98" s="18"/>
      <c r="V98" s="41"/>
      <c r="W98" s="18"/>
      <c r="X98" s="18"/>
    </row>
    <row r="99" spans="1:26" ht="15" customHeight="1" x14ac:dyDescent="0.3">
      <c r="A99" s="10"/>
      <c r="B99" s="50">
        <v>44634.887729479167</v>
      </c>
      <c r="D99" s="18"/>
      <c r="E99" s="18"/>
      <c r="G99" s="18"/>
      <c r="H99" s="18"/>
      <c r="I99" s="18"/>
      <c r="J99" s="41"/>
      <c r="K99" s="18"/>
      <c r="L99" s="18"/>
      <c r="M99" s="18"/>
      <c r="P99" s="18"/>
      <c r="Q99" s="18"/>
      <c r="R99" s="41"/>
      <c r="S99" s="18"/>
      <c r="T99" s="18"/>
      <c r="U99" s="18"/>
      <c r="V99" s="41"/>
      <c r="W99" s="18"/>
      <c r="X99" s="18"/>
    </row>
    <row r="100" spans="1:26" ht="15" customHeight="1" x14ac:dyDescent="0.3">
      <c r="A100" s="10"/>
      <c r="B100" s="58" t="s">
        <v>297</v>
      </c>
      <c r="D100" s="18"/>
      <c r="E100" s="18"/>
      <c r="G100" s="18"/>
      <c r="H100" s="18"/>
      <c r="I100" s="18"/>
      <c r="J100" s="41"/>
      <c r="K100" s="18"/>
      <c r="L100" s="18"/>
      <c r="M100" s="18"/>
      <c r="P100" s="18"/>
      <c r="Q100" s="18"/>
      <c r="R100" s="41"/>
      <c r="S100" s="18"/>
      <c r="T100" s="18"/>
      <c r="U100" s="18"/>
      <c r="V100" s="41"/>
      <c r="W100" s="18"/>
      <c r="X100" s="18"/>
    </row>
    <row r="101" spans="1:26" ht="15" customHeight="1" x14ac:dyDescent="0.3">
      <c r="A101" s="10"/>
      <c r="B101" s="56"/>
      <c r="D101" s="18"/>
      <c r="E101" s="18"/>
      <c r="G101" s="18"/>
      <c r="H101" s="18"/>
      <c r="I101" s="18"/>
      <c r="J101" s="41"/>
      <c r="K101" s="18"/>
      <c r="L101" s="18"/>
      <c r="M101" s="18"/>
      <c r="P101" s="18"/>
      <c r="Q101" s="18"/>
      <c r="R101" s="41"/>
      <c r="S101" s="18"/>
      <c r="T101" s="18"/>
      <c r="U101" s="18"/>
      <c r="V101" s="41"/>
      <c r="W101" s="18"/>
      <c r="X101" s="18"/>
    </row>
    <row r="102" spans="1:26" ht="15" customHeight="1" x14ac:dyDescent="0.3">
      <c r="D102" s="18"/>
      <c r="E102" s="18"/>
      <c r="G102" s="18"/>
      <c r="H102" s="18"/>
      <c r="I102" s="18"/>
      <c r="J102" s="41"/>
      <c r="K102" s="18"/>
      <c r="L102" s="18"/>
      <c r="M102" s="18"/>
      <c r="P102" s="18"/>
      <c r="Q102" s="18"/>
      <c r="R102" s="41"/>
      <c r="S102" s="18"/>
      <c r="T102" s="18"/>
      <c r="U102" s="18"/>
      <c r="V102" s="41"/>
      <c r="W102" s="18"/>
      <c r="X102" s="18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ADF4-C053-71DA-5918-F1C061EB1FC4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","200"," - ","Corporate Expense")</f>
        <v>Department 200 - Corporate Expense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28186.81</v>
      </c>
      <c r="E18" s="21"/>
      <c r="F18" s="30">
        <f t="shared" ref="F18:F26" si="0">IF(D$12=0,0,D18/D$12)</f>
        <v>0</v>
      </c>
      <c r="G18" s="21"/>
      <c r="H18" s="21" cm="1">
        <f t="array" ref="H18">SUM(OSRRefH22x_0)</f>
        <v>28807.309999999998</v>
      </c>
      <c r="I18" s="21"/>
      <c r="J18" s="30">
        <f t="shared" ref="J18:J26" si="1">IF(H$12=0,0,H18/H$12)</f>
        <v>0</v>
      </c>
      <c r="K18" s="5"/>
      <c r="L18" s="21">
        <f t="shared" ref="L18:L26" si="2">+D18-H18</f>
        <v>-620.49999999999636</v>
      </c>
      <c r="M18" s="5"/>
      <c r="N18" s="30">
        <f t="shared" ref="N18:N26" si="3">IF(H18=0,0,L18/H18)</f>
        <v>-2.1539671701384003E-2</v>
      </c>
      <c r="O18" s="11"/>
      <c r="P18" s="21" cm="1">
        <f t="array" ref="P18">SUM(OSRRefP22x_0)</f>
        <v>269484.89999999997</v>
      </c>
      <c r="Q18" s="21"/>
      <c r="R18" s="30">
        <f t="shared" ref="R18:R26" si="4">IF(P$12=0,0,P18/P$12)</f>
        <v>0</v>
      </c>
      <c r="S18" s="21"/>
      <c r="T18" s="21" cm="1">
        <f t="array" ref="T18">SUM(OSRRefT22x_0)</f>
        <v>-110820.38</v>
      </c>
      <c r="U18" s="21"/>
      <c r="V18" s="30">
        <f t="shared" ref="V18:V26" si="5">IF(T$12=0,0,T18/T$12)</f>
        <v>0</v>
      </c>
      <c r="W18" s="5"/>
      <c r="X18" s="21">
        <f t="shared" ref="X18:X26" si="6">+P18-T18</f>
        <v>380305.27999999997</v>
      </c>
      <c r="Y18" s="5"/>
      <c r="Z18" s="30">
        <f t="shared" ref="Z18:Z26" si="7">IF(T18=0,0,X18/T18)</f>
        <v>-3.4317269079929158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26491.86</v>
      </c>
      <c r="E19" s="2"/>
      <c r="F19" s="6">
        <f t="shared" si="0"/>
        <v>0</v>
      </c>
      <c r="G19" s="2"/>
      <c r="H19" s="2">
        <f>SUM(OSRRefH22_0x_0)</f>
        <v>28124.68</v>
      </c>
      <c r="I19" s="2"/>
      <c r="J19" s="6">
        <f t="shared" si="1"/>
        <v>0</v>
      </c>
      <c r="K19" s="2"/>
      <c r="L19" s="2">
        <f t="shared" si="2"/>
        <v>-1632.8199999999997</v>
      </c>
      <c r="M19" s="2"/>
      <c r="N19" s="6">
        <f t="shared" si="3"/>
        <v>-5.8056482775981799E-2</v>
      </c>
      <c r="O19" s="14"/>
      <c r="P19" s="2">
        <f>SUM(OSRRefP22_0x_0)</f>
        <v>218700.08</v>
      </c>
      <c r="Q19" s="2"/>
      <c r="R19" s="6">
        <f t="shared" si="4"/>
        <v>0</v>
      </c>
      <c r="S19" s="2"/>
      <c r="T19" s="2">
        <f>SUM(OSRRefT22_0x_0)</f>
        <v>-161067.92000000001</v>
      </c>
      <c r="U19" s="2"/>
      <c r="V19" s="6">
        <f t="shared" si="5"/>
        <v>0</v>
      </c>
      <c r="W19" s="2"/>
      <c r="X19" s="2">
        <f t="shared" si="6"/>
        <v>379768</v>
      </c>
      <c r="Y19" s="2"/>
      <c r="Z19" s="6">
        <f t="shared" si="7"/>
        <v>-2.3578127786091727</v>
      </c>
    </row>
    <row r="20" spans="1:26" s="69" customFormat="1" ht="15" hidden="1" customHeight="1" outlineLevel="2" x14ac:dyDescent="0.3">
      <c r="A20" s="26"/>
      <c r="B20" s="12" t="str">
        <f>CONCATENATE("          ","6120"," - ","RETIREES HEALTH INSURANCE")</f>
        <v xml:space="preserve">          6120 - RETIREES HEALTH INSURANCE</v>
      </c>
      <c r="C20" s="12"/>
      <c r="D20" s="8">
        <v>26491.86</v>
      </c>
      <c r="E20" s="3"/>
      <c r="F20" s="7">
        <f t="shared" si="0"/>
        <v>0</v>
      </c>
      <c r="G20" s="3"/>
      <c r="H20" s="8">
        <v>28124.68</v>
      </c>
      <c r="I20" s="3"/>
      <c r="J20" s="7">
        <f t="shared" si="1"/>
        <v>0</v>
      </c>
      <c r="K20" s="3"/>
      <c r="L20" s="8">
        <f t="shared" si="2"/>
        <v>-1632.8199999999997</v>
      </c>
      <c r="M20" s="3"/>
      <c r="N20" s="7">
        <f t="shared" si="3"/>
        <v>-5.8056482775981799E-2</v>
      </c>
      <c r="O20" s="12"/>
      <c r="P20" s="8">
        <v>218700.08</v>
      </c>
      <c r="Q20" s="3"/>
      <c r="R20" s="7">
        <f t="shared" si="4"/>
        <v>0</v>
      </c>
      <c r="S20" s="3"/>
      <c r="T20" s="8">
        <v>-161067.92000000001</v>
      </c>
      <c r="U20" s="3"/>
      <c r="V20" s="7">
        <f t="shared" si="5"/>
        <v>0</v>
      </c>
      <c r="W20" s="3"/>
      <c r="X20" s="8">
        <f t="shared" si="6"/>
        <v>379768</v>
      </c>
      <c r="Y20" s="3"/>
      <c r="Z20" s="7">
        <f t="shared" si="7"/>
        <v>-2.3578127786091727</v>
      </c>
    </row>
    <row r="21" spans="1:26" s="68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256.75</v>
      </c>
      <c r="E21" s="2"/>
      <c r="F21" s="6">
        <f t="shared" si="0"/>
        <v>0</v>
      </c>
      <c r="G21" s="2"/>
      <c r="H21" s="2">
        <f>SUM(OSRRefH22_1x_0)</f>
        <v>135.87</v>
      </c>
      <c r="I21" s="2"/>
      <c r="J21" s="6">
        <f t="shared" si="1"/>
        <v>0</v>
      </c>
      <c r="K21" s="2"/>
      <c r="L21" s="2">
        <f t="shared" si="2"/>
        <v>120.88</v>
      </c>
      <c r="M21" s="2"/>
      <c r="N21" s="6">
        <f t="shared" si="3"/>
        <v>0.88967395304335017</v>
      </c>
      <c r="O21" s="14"/>
      <c r="P21" s="2">
        <f>SUM(OSRRefP22_1x_0)</f>
        <v>9535.83</v>
      </c>
      <c r="Q21" s="2"/>
      <c r="R21" s="6">
        <f t="shared" si="4"/>
        <v>0</v>
      </c>
      <c r="S21" s="2"/>
      <c r="T21" s="2">
        <f>SUM(OSRRefT22_1x_0)</f>
        <v>5118.54</v>
      </c>
      <c r="U21" s="2"/>
      <c r="V21" s="6">
        <f t="shared" si="5"/>
        <v>0</v>
      </c>
      <c r="W21" s="2"/>
      <c r="X21" s="2">
        <f t="shared" si="6"/>
        <v>4417.29</v>
      </c>
      <c r="Y21" s="2"/>
      <c r="Z21" s="6">
        <f t="shared" si="7"/>
        <v>0.86299804241053113</v>
      </c>
    </row>
    <row r="22" spans="1:26" s="69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8">
        <v>256.75</v>
      </c>
      <c r="E22" s="3"/>
      <c r="F22" s="7">
        <f t="shared" si="0"/>
        <v>0</v>
      </c>
      <c r="G22" s="3"/>
      <c r="H22" s="8">
        <v>135.87</v>
      </c>
      <c r="I22" s="3"/>
      <c r="J22" s="7">
        <f t="shared" si="1"/>
        <v>0</v>
      </c>
      <c r="K22" s="3"/>
      <c r="L22" s="8">
        <f t="shared" si="2"/>
        <v>120.88</v>
      </c>
      <c r="M22" s="3"/>
      <c r="N22" s="7">
        <f t="shared" si="3"/>
        <v>0.88967395304335017</v>
      </c>
      <c r="O22" s="12"/>
      <c r="P22" s="8">
        <v>9535.83</v>
      </c>
      <c r="Q22" s="3"/>
      <c r="R22" s="7">
        <f t="shared" si="4"/>
        <v>0</v>
      </c>
      <c r="S22" s="3"/>
      <c r="T22" s="8">
        <v>5118.54</v>
      </c>
      <c r="U22" s="3"/>
      <c r="V22" s="7">
        <f t="shared" si="5"/>
        <v>0</v>
      </c>
      <c r="W22" s="3"/>
      <c r="X22" s="8">
        <f t="shared" si="6"/>
        <v>4417.29</v>
      </c>
      <c r="Y22" s="3"/>
      <c r="Z22" s="7">
        <f t="shared" si="7"/>
        <v>0.86299804241053113</v>
      </c>
    </row>
    <row r="23" spans="1:26" s="68" customFormat="1" ht="15" customHeight="1" outlineLevel="1" collapsed="1" x14ac:dyDescent="0.3">
      <c r="A23" s="25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1438.2</v>
      </c>
      <c r="E23" s="2"/>
      <c r="F23" s="6">
        <f t="shared" si="0"/>
        <v>0</v>
      </c>
      <c r="G23" s="2"/>
      <c r="H23" s="2">
        <f>SUM(OSRRefH22_2x_0)</f>
        <v>546.76</v>
      </c>
      <c r="I23" s="2"/>
      <c r="J23" s="6">
        <f t="shared" si="1"/>
        <v>0</v>
      </c>
      <c r="K23" s="2"/>
      <c r="L23" s="2">
        <f t="shared" si="2"/>
        <v>891.44</v>
      </c>
      <c r="M23" s="2"/>
      <c r="N23" s="6">
        <f t="shared" si="3"/>
        <v>1.6304045650742558</v>
      </c>
      <c r="O23" s="14"/>
      <c r="P23" s="2">
        <f>SUM(OSRRefP22_2x_0)</f>
        <v>10085.74</v>
      </c>
      <c r="Q23" s="2"/>
      <c r="R23" s="6">
        <f t="shared" si="4"/>
        <v>0</v>
      </c>
      <c r="S23" s="2"/>
      <c r="T23" s="2">
        <f>SUM(OSRRefT22_2x_0)</f>
        <v>10146.75</v>
      </c>
      <c r="U23" s="2"/>
      <c r="V23" s="6">
        <f t="shared" si="5"/>
        <v>0</v>
      </c>
      <c r="W23" s="2"/>
      <c r="X23" s="2">
        <f t="shared" si="6"/>
        <v>-61.010000000000218</v>
      </c>
      <c r="Y23" s="2"/>
      <c r="Z23" s="6">
        <f t="shared" si="7"/>
        <v>-6.0127627072708223E-3</v>
      </c>
    </row>
    <row r="24" spans="1:26" s="69" customFormat="1" ht="15" hidden="1" customHeight="1" outlineLevel="2" x14ac:dyDescent="0.3">
      <c r="A24" s="26"/>
      <c r="B24" s="12" t="str">
        <f>CONCATENATE("          ","6397"," - ","BOARD EXPENSES")</f>
        <v xml:space="preserve">          6397 - BOARD EXPENSES</v>
      </c>
      <c r="C24" s="12"/>
      <c r="D24" s="8">
        <v>1438.2</v>
      </c>
      <c r="E24" s="3"/>
      <c r="F24" s="7">
        <f t="shared" si="0"/>
        <v>0</v>
      </c>
      <c r="G24" s="3"/>
      <c r="H24" s="8">
        <v>546.76</v>
      </c>
      <c r="I24" s="3"/>
      <c r="J24" s="7">
        <f t="shared" si="1"/>
        <v>0</v>
      </c>
      <c r="K24" s="3"/>
      <c r="L24" s="8">
        <f t="shared" si="2"/>
        <v>891.44</v>
      </c>
      <c r="M24" s="3"/>
      <c r="N24" s="7">
        <f t="shared" si="3"/>
        <v>1.6304045650742558</v>
      </c>
      <c r="O24" s="12"/>
      <c r="P24" s="8">
        <v>10085.74</v>
      </c>
      <c r="Q24" s="3"/>
      <c r="R24" s="7">
        <f t="shared" si="4"/>
        <v>0</v>
      </c>
      <c r="S24" s="3"/>
      <c r="T24" s="8">
        <v>10146.75</v>
      </c>
      <c r="U24" s="3"/>
      <c r="V24" s="7">
        <f t="shared" si="5"/>
        <v>0</v>
      </c>
      <c r="W24" s="3"/>
      <c r="X24" s="8">
        <f t="shared" si="6"/>
        <v>-61.010000000000218</v>
      </c>
      <c r="Y24" s="3"/>
      <c r="Z24" s="7">
        <f t="shared" si="7"/>
        <v>-6.0127627072708223E-3</v>
      </c>
    </row>
    <row r="25" spans="1:26" s="68" customFormat="1" ht="15" customHeight="1" outlineLevel="1" collapsed="1" x14ac:dyDescent="0.3">
      <c r="A25" s="25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31163.25</v>
      </c>
      <c r="Q25" s="2"/>
      <c r="R25" s="6">
        <f t="shared" si="4"/>
        <v>0</v>
      </c>
      <c r="S25" s="2"/>
      <c r="T25" s="2">
        <f>SUM(OSRRefT22_3x_0)</f>
        <v>34982.25</v>
      </c>
      <c r="U25" s="2"/>
      <c r="V25" s="6">
        <f t="shared" si="5"/>
        <v>0</v>
      </c>
      <c r="W25" s="2"/>
      <c r="X25" s="2">
        <f t="shared" si="6"/>
        <v>-3819</v>
      </c>
      <c r="Y25" s="2"/>
      <c r="Z25" s="6">
        <f t="shared" si="7"/>
        <v>-0.10916965032266364</v>
      </c>
    </row>
    <row r="26" spans="1:26" s="69" customFormat="1" ht="15" hidden="1" customHeight="1" outlineLevel="2" x14ac:dyDescent="0.3">
      <c r="A26" s="26"/>
      <c r="B26" s="12" t="str">
        <f>CONCATENATE("          ","6331"," - ","INDIRECT COSTS-AUXILIARY ORGAN")</f>
        <v xml:space="preserve">          6331 - INDIRECT COSTS-AUXILIARY ORGAN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31163.25</v>
      </c>
      <c r="Q26" s="3"/>
      <c r="R26" s="7">
        <f t="shared" si="4"/>
        <v>0</v>
      </c>
      <c r="S26" s="3"/>
      <c r="T26" s="8">
        <v>34982.25</v>
      </c>
      <c r="U26" s="3"/>
      <c r="V26" s="7">
        <f t="shared" si="5"/>
        <v>0</v>
      </c>
      <c r="W26" s="3"/>
      <c r="X26" s="8">
        <f t="shared" si="6"/>
        <v>-3819</v>
      </c>
      <c r="Y26" s="3"/>
      <c r="Z26" s="7">
        <f t="shared" si="7"/>
        <v>-0.10916965032266364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3">
        <f>+D16-D18+D28</f>
        <v>-28186.81</v>
      </c>
      <c r="E30" s="15"/>
      <c r="F30" s="22">
        <f>IF(D$12=0,0,D30/D$12)</f>
        <v>0</v>
      </c>
      <c r="G30" s="15"/>
      <c r="H30" s="23">
        <f>+H16-H18+H28</f>
        <v>-28807.309999999998</v>
      </c>
      <c r="I30" s="15"/>
      <c r="J30" s="22">
        <f>IF(H$12=0,0,H30/H$12)</f>
        <v>0</v>
      </c>
      <c r="K30" s="17"/>
      <c r="L30" s="23">
        <f>+D30-H30</f>
        <v>620.49999999999636</v>
      </c>
      <c r="M30" s="17"/>
      <c r="N30" s="22">
        <f>IF(H30=0,0,L30/H30)</f>
        <v>-2.1539671701384003E-2</v>
      </c>
      <c r="O30" s="27"/>
      <c r="P30" s="23">
        <f>+P16-P18+P28</f>
        <v>-269484.89999999997</v>
      </c>
      <c r="Q30" s="15"/>
      <c r="R30" s="22">
        <f>IF(P$12=0,0,P30/P$12)</f>
        <v>0</v>
      </c>
      <c r="S30" s="15"/>
      <c r="T30" s="23">
        <f>+T16-T18+T28</f>
        <v>110820.38</v>
      </c>
      <c r="U30" s="15"/>
      <c r="V30" s="22">
        <f>IF(T$12=0,0,T30/T$12)</f>
        <v>0</v>
      </c>
      <c r="W30" s="17"/>
      <c r="X30" s="23">
        <f>+P30-T30</f>
        <v>-380305.27999999997</v>
      </c>
      <c r="Y30" s="17"/>
      <c r="Z30" s="22">
        <f>IF(T30=0,0,X30/T30)</f>
        <v>-3.4317269079929158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3">
        <f>+D30-D32</f>
        <v>-28186.81</v>
      </c>
      <c r="E34" s="15"/>
      <c r="F34" s="34">
        <f>IF(D$12=0,0,D34/D$12)</f>
        <v>0</v>
      </c>
      <c r="G34" s="15"/>
      <c r="H34" s="33">
        <f>+H30-H32</f>
        <v>-28807.309999999998</v>
      </c>
      <c r="I34" s="15"/>
      <c r="J34" s="34">
        <f>IF(H$12=0,0,H34/H$12)</f>
        <v>0</v>
      </c>
      <c r="K34" s="17"/>
      <c r="L34" s="33">
        <f>D34-H34</f>
        <v>620.49999999999636</v>
      </c>
      <c r="M34" s="17"/>
      <c r="N34" s="34">
        <f>IF(H34=0,0,L34/H34)</f>
        <v>-2.1539671701384003E-2</v>
      </c>
      <c r="O34" s="27"/>
      <c r="P34" s="33">
        <f>+P30-P32</f>
        <v>-269484.89999999997</v>
      </c>
      <c r="Q34" s="15"/>
      <c r="R34" s="34">
        <f>IF(P$12=0,0,P34/P$12)</f>
        <v>0</v>
      </c>
      <c r="S34" s="15"/>
      <c r="T34" s="33">
        <f>+T30-T32</f>
        <v>110820.38</v>
      </c>
      <c r="U34" s="15"/>
      <c r="V34" s="34">
        <f>IF(T$12=0,0,T34/T$12)</f>
        <v>0</v>
      </c>
      <c r="W34" s="17"/>
      <c r="X34" s="33">
        <f>P34-T34</f>
        <v>-380305.27999999997</v>
      </c>
      <c r="Y34" s="17"/>
      <c r="Z34" s="34">
        <f>IF(T34=0,0,X34/T34)</f>
        <v>-3.4317269079929158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35">
        <f>SUM(D34:D36)</f>
        <v>-28186.81</v>
      </c>
      <c r="E37" s="15"/>
      <c r="F37" s="29">
        <f>IF(D$12=0,0,D37/D$12)</f>
        <v>0</v>
      </c>
      <c r="G37" s="15"/>
      <c r="H37" s="35">
        <f>SUM(H34:H36)</f>
        <v>-28807.309999999998</v>
      </c>
      <c r="I37" s="15"/>
      <c r="J37" s="29">
        <f>IF(H$12=0,0,H37/H$12)</f>
        <v>0</v>
      </c>
      <c r="K37" s="17"/>
      <c r="L37" s="35">
        <f>+D37-H37</f>
        <v>620.49999999999636</v>
      </c>
      <c r="M37" s="17"/>
      <c r="N37" s="29">
        <f>IF(H37=0,0,L37/H37)</f>
        <v>-2.1539671701384003E-2</v>
      </c>
      <c r="O37" s="27"/>
      <c r="P37" s="35">
        <f>SUM(P34:P36)</f>
        <v>-269484.89999999997</v>
      </c>
      <c r="Q37" s="15"/>
      <c r="R37" s="29">
        <f>IF(P$12=0,0,P37/P$12)</f>
        <v>0</v>
      </c>
      <c r="S37" s="15"/>
      <c r="T37" s="35">
        <f>SUM(T34:T36)</f>
        <v>110820.38</v>
      </c>
      <c r="U37" s="15"/>
      <c r="V37" s="29">
        <f>IF(T$12=0,0,T37/T$12)</f>
        <v>0</v>
      </c>
      <c r="W37" s="17"/>
      <c r="X37" s="35">
        <f>+P37-T37</f>
        <v>-380305.27999999997</v>
      </c>
      <c r="Y37" s="17"/>
      <c r="Z37" s="29">
        <f>IF(T37=0,0,X37/T37)</f>
        <v>-3.4317269079929158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0">
        <v>44634.887810300927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8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A41" s="10"/>
      <c r="B41" s="56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1524-EF0E-A5C8-58C4-2ABAC9D5AB1C}">
  <sheetPr>
    <tabColor rgb="FF92D050"/>
    <outlinePr summaryBelow="0" summaryRight="0"/>
  </sheetPr>
  <dimension ref="A2:Z7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","201"," - ","General Manager")</f>
        <v>Department 201 - General Manager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34901.280000000006</v>
      </c>
      <c r="E18" s="21"/>
      <c r="F18" s="30">
        <f t="shared" ref="F18:F62" si="0">IF(D$12=0,0,D18/D$12)</f>
        <v>0</v>
      </c>
      <c r="G18" s="21"/>
      <c r="H18" s="21" cm="1">
        <f t="array" ref="H18">SUM(OSRRefH22x_0)</f>
        <v>30894.159999999996</v>
      </c>
      <c r="I18" s="21"/>
      <c r="J18" s="30">
        <f t="shared" ref="J18:J62" si="1">IF(H$12=0,0,H18/H$12)</f>
        <v>0</v>
      </c>
      <c r="K18" s="5"/>
      <c r="L18" s="21">
        <f t="shared" ref="L18:L62" si="2">+D18-H18</f>
        <v>4007.1200000000099</v>
      </c>
      <c r="M18" s="5"/>
      <c r="N18" s="30">
        <f t="shared" ref="N18:N62" si="3">IF(H18=0,0,L18/H18)</f>
        <v>0.12970477268195704</v>
      </c>
      <c r="O18" s="11"/>
      <c r="P18" s="21" cm="1">
        <f t="array" ref="P18">SUM(OSRRefP22x_0)</f>
        <v>391326.17000000004</v>
      </c>
      <c r="Q18" s="21"/>
      <c r="R18" s="30">
        <f t="shared" ref="R18:R62" si="4">IF(P$12=0,0,P18/P$12)</f>
        <v>0</v>
      </c>
      <c r="S18" s="21"/>
      <c r="T18" s="21" cm="1">
        <f t="array" ref="T18">SUM(OSRRefT22x_0)</f>
        <v>299121.87999999989</v>
      </c>
      <c r="U18" s="21"/>
      <c r="V18" s="30">
        <f t="shared" ref="V18:V62" si="5">IF(T$12=0,0,T18/T$12)</f>
        <v>0</v>
      </c>
      <c r="W18" s="5"/>
      <c r="X18" s="21">
        <f t="shared" ref="X18:X62" si="6">+P18-T18</f>
        <v>92204.290000000154</v>
      </c>
      <c r="Y18" s="5"/>
      <c r="Z18" s="30">
        <f t="shared" ref="Z18:Z62" si="7">IF(T18=0,0,X18/T18)</f>
        <v>0.30824990134456293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11362.02</v>
      </c>
      <c r="E19" s="2"/>
      <c r="F19" s="6">
        <f t="shared" si="0"/>
        <v>0</v>
      </c>
      <c r="G19" s="2"/>
      <c r="H19" s="2">
        <f>SUM(OSRRefH22_0x_0)</f>
        <v>10048.529999999999</v>
      </c>
      <c r="I19" s="2"/>
      <c r="J19" s="6">
        <f t="shared" si="1"/>
        <v>0</v>
      </c>
      <c r="K19" s="2"/>
      <c r="L19" s="2">
        <f t="shared" si="2"/>
        <v>1313.4900000000016</v>
      </c>
      <c r="M19" s="2"/>
      <c r="N19" s="6">
        <f t="shared" si="3"/>
        <v>0.13071464184313544</v>
      </c>
      <c r="O19" s="14"/>
      <c r="P19" s="2">
        <f>SUM(OSRRefP22_0x_0)</f>
        <v>117446.51</v>
      </c>
      <c r="Q19" s="2"/>
      <c r="R19" s="6">
        <f t="shared" si="4"/>
        <v>0</v>
      </c>
      <c r="S19" s="2"/>
      <c r="T19" s="2">
        <f>SUM(OSRRefT22_0x_0)</f>
        <v>86250.53</v>
      </c>
      <c r="U19" s="2"/>
      <c r="V19" s="6">
        <f t="shared" si="5"/>
        <v>0</v>
      </c>
      <c r="W19" s="2"/>
      <c r="X19" s="2">
        <f t="shared" si="6"/>
        <v>31195.979999999996</v>
      </c>
      <c r="Y19" s="2"/>
      <c r="Z19" s="6">
        <f t="shared" si="7"/>
        <v>0.36169029917845136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1722.88</v>
      </c>
      <c r="E20" s="3"/>
      <c r="F20" s="7">
        <f t="shared" si="0"/>
        <v>0</v>
      </c>
      <c r="G20" s="3"/>
      <c r="H20" s="8">
        <v>1454.4</v>
      </c>
      <c r="I20" s="3"/>
      <c r="J20" s="7">
        <f t="shared" si="1"/>
        <v>0</v>
      </c>
      <c r="K20" s="3"/>
      <c r="L20" s="8">
        <f t="shared" si="2"/>
        <v>268.48</v>
      </c>
      <c r="M20" s="3"/>
      <c r="N20" s="7">
        <f t="shared" si="3"/>
        <v>0.18459845984598461</v>
      </c>
      <c r="O20" s="12"/>
      <c r="P20" s="8">
        <v>13770.08</v>
      </c>
      <c r="Q20" s="3"/>
      <c r="R20" s="7">
        <f t="shared" si="4"/>
        <v>0</v>
      </c>
      <c r="S20" s="3"/>
      <c r="T20" s="8">
        <v>9742.51</v>
      </c>
      <c r="U20" s="3"/>
      <c r="V20" s="7">
        <f t="shared" si="5"/>
        <v>0</v>
      </c>
      <c r="W20" s="3"/>
      <c r="X20" s="8">
        <f t="shared" si="6"/>
        <v>4027.5699999999997</v>
      </c>
      <c r="Y20" s="3"/>
      <c r="Z20" s="7">
        <f t="shared" si="7"/>
        <v>0.41340167985457543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289.61</v>
      </c>
      <c r="E21" s="3"/>
      <c r="F21" s="7">
        <f t="shared" si="0"/>
        <v>0</v>
      </c>
      <c r="G21" s="3"/>
      <c r="H21" s="8">
        <v>62.74</v>
      </c>
      <c r="I21" s="3"/>
      <c r="J21" s="7">
        <f t="shared" si="1"/>
        <v>0</v>
      </c>
      <c r="K21" s="3"/>
      <c r="L21" s="8">
        <f t="shared" si="2"/>
        <v>226.87</v>
      </c>
      <c r="M21" s="3"/>
      <c r="N21" s="7">
        <f t="shared" si="3"/>
        <v>3.6160344277972585</v>
      </c>
      <c r="O21" s="12"/>
      <c r="P21" s="8">
        <v>2739.47</v>
      </c>
      <c r="Q21" s="3"/>
      <c r="R21" s="7">
        <f t="shared" si="4"/>
        <v>0</v>
      </c>
      <c r="S21" s="3"/>
      <c r="T21" s="8">
        <v>631.33000000000004</v>
      </c>
      <c r="U21" s="3"/>
      <c r="V21" s="7">
        <f t="shared" si="5"/>
        <v>0</v>
      </c>
      <c r="W21" s="3"/>
      <c r="X21" s="8">
        <f t="shared" si="6"/>
        <v>2108.14</v>
      </c>
      <c r="Y21" s="3"/>
      <c r="Z21" s="7">
        <f t="shared" si="7"/>
        <v>3.3392045364547855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3588.59</v>
      </c>
      <c r="E22" s="3"/>
      <c r="F22" s="7">
        <f t="shared" si="0"/>
        <v>0</v>
      </c>
      <c r="G22" s="3"/>
      <c r="H22" s="8">
        <v>3917.15</v>
      </c>
      <c r="I22" s="3"/>
      <c r="J22" s="7">
        <f t="shared" si="1"/>
        <v>0</v>
      </c>
      <c r="K22" s="3"/>
      <c r="L22" s="8">
        <f t="shared" si="2"/>
        <v>-328.55999999999995</v>
      </c>
      <c r="M22" s="3"/>
      <c r="N22" s="7">
        <f t="shared" si="3"/>
        <v>-8.3877308757642655E-2</v>
      </c>
      <c r="O22" s="12"/>
      <c r="P22" s="8">
        <v>30833.52</v>
      </c>
      <c r="Q22" s="3"/>
      <c r="R22" s="7">
        <f t="shared" si="4"/>
        <v>0</v>
      </c>
      <c r="S22" s="3"/>
      <c r="T22" s="8">
        <v>32048.22</v>
      </c>
      <c r="U22" s="3"/>
      <c r="V22" s="7">
        <f t="shared" si="5"/>
        <v>0</v>
      </c>
      <c r="W22" s="3"/>
      <c r="X22" s="8">
        <f t="shared" si="6"/>
        <v>-1214.7000000000007</v>
      </c>
      <c r="Y22" s="3"/>
      <c r="Z22" s="7">
        <f t="shared" si="7"/>
        <v>-3.790226103040982E-2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58.37</v>
      </c>
      <c r="E23" s="3"/>
      <c r="F23" s="7">
        <f t="shared" si="0"/>
        <v>0</v>
      </c>
      <c r="G23" s="3"/>
      <c r="H23" s="8">
        <v>49.43</v>
      </c>
      <c r="I23" s="3"/>
      <c r="J23" s="7">
        <f t="shared" si="1"/>
        <v>0</v>
      </c>
      <c r="K23" s="3"/>
      <c r="L23" s="8">
        <f t="shared" si="2"/>
        <v>8.9399999999999977</v>
      </c>
      <c r="M23" s="3"/>
      <c r="N23" s="7">
        <f t="shared" si="3"/>
        <v>0.18086182480275131</v>
      </c>
      <c r="O23" s="12"/>
      <c r="P23" s="8">
        <v>552.14</v>
      </c>
      <c r="Q23" s="3"/>
      <c r="R23" s="7">
        <f t="shared" si="4"/>
        <v>0</v>
      </c>
      <c r="S23" s="3"/>
      <c r="T23" s="8">
        <v>497.42</v>
      </c>
      <c r="U23" s="3"/>
      <c r="V23" s="7">
        <f t="shared" si="5"/>
        <v>0</v>
      </c>
      <c r="W23" s="3"/>
      <c r="X23" s="8">
        <f t="shared" si="6"/>
        <v>54.71999999999997</v>
      </c>
      <c r="Y23" s="3"/>
      <c r="Z23" s="7">
        <f t="shared" si="7"/>
        <v>0.11000763941940406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2407.25</v>
      </c>
      <c r="E24" s="3"/>
      <c r="F24" s="7">
        <f t="shared" si="0"/>
        <v>0</v>
      </c>
      <c r="G24" s="3"/>
      <c r="H24" s="8">
        <v>2049.0300000000002</v>
      </c>
      <c r="I24" s="3"/>
      <c r="J24" s="7">
        <f t="shared" si="1"/>
        <v>0</v>
      </c>
      <c r="K24" s="3"/>
      <c r="L24" s="8">
        <f t="shared" si="2"/>
        <v>358.2199999999998</v>
      </c>
      <c r="M24" s="3"/>
      <c r="N24" s="7">
        <f t="shared" si="3"/>
        <v>0.17482418510221898</v>
      </c>
      <c r="O24" s="12"/>
      <c r="P24" s="8">
        <v>17993.5</v>
      </c>
      <c r="Q24" s="3"/>
      <c r="R24" s="7">
        <f t="shared" si="4"/>
        <v>0</v>
      </c>
      <c r="S24" s="3"/>
      <c r="T24" s="8">
        <v>21616.59</v>
      </c>
      <c r="U24" s="3"/>
      <c r="V24" s="7">
        <f t="shared" si="5"/>
        <v>0</v>
      </c>
      <c r="W24" s="3"/>
      <c r="X24" s="8">
        <f t="shared" si="6"/>
        <v>-3623.09</v>
      </c>
      <c r="Y24" s="3"/>
      <c r="Z24" s="7">
        <f t="shared" si="7"/>
        <v>-0.16760691672460828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1984.64</v>
      </c>
      <c r="E25" s="3"/>
      <c r="F25" s="7">
        <f t="shared" si="0"/>
        <v>0</v>
      </c>
      <c r="G25" s="3"/>
      <c r="H25" s="8">
        <v>1658.98</v>
      </c>
      <c r="I25" s="3"/>
      <c r="J25" s="7">
        <f t="shared" si="1"/>
        <v>0</v>
      </c>
      <c r="K25" s="3"/>
      <c r="L25" s="8">
        <f t="shared" si="2"/>
        <v>325.66000000000008</v>
      </c>
      <c r="M25" s="3"/>
      <c r="N25" s="7">
        <f t="shared" si="3"/>
        <v>0.19630134178832781</v>
      </c>
      <c r="O25" s="12"/>
      <c r="P25" s="8">
        <v>21684.93</v>
      </c>
      <c r="Q25" s="3"/>
      <c r="R25" s="7">
        <f t="shared" si="4"/>
        <v>0</v>
      </c>
      <c r="S25" s="3"/>
      <c r="T25" s="8">
        <v>14101.33</v>
      </c>
      <c r="U25" s="3"/>
      <c r="V25" s="7">
        <f t="shared" si="5"/>
        <v>0</v>
      </c>
      <c r="W25" s="3"/>
      <c r="X25" s="8">
        <f t="shared" si="6"/>
        <v>7583.6</v>
      </c>
      <c r="Y25" s="3"/>
      <c r="Z25" s="7">
        <f t="shared" si="7"/>
        <v>0.53779324361602776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1020.54</v>
      </c>
      <c r="E26" s="3"/>
      <c r="F26" s="7">
        <f t="shared" si="0"/>
        <v>0</v>
      </c>
      <c r="G26" s="3"/>
      <c r="H26" s="8">
        <v>856.8</v>
      </c>
      <c r="I26" s="3"/>
      <c r="J26" s="7">
        <f t="shared" si="1"/>
        <v>0</v>
      </c>
      <c r="K26" s="3"/>
      <c r="L26" s="8">
        <f t="shared" si="2"/>
        <v>163.74</v>
      </c>
      <c r="M26" s="3"/>
      <c r="N26" s="7">
        <f t="shared" si="3"/>
        <v>0.19110644257703083</v>
      </c>
      <c r="O26" s="12"/>
      <c r="P26" s="8">
        <v>28295.1</v>
      </c>
      <c r="Q26" s="3"/>
      <c r="R26" s="7">
        <f t="shared" si="4"/>
        <v>0</v>
      </c>
      <c r="S26" s="3"/>
      <c r="T26" s="8">
        <v>7282.8</v>
      </c>
      <c r="U26" s="3"/>
      <c r="V26" s="7">
        <f t="shared" si="5"/>
        <v>0</v>
      </c>
      <c r="W26" s="3"/>
      <c r="X26" s="8">
        <f t="shared" si="6"/>
        <v>21012.3</v>
      </c>
      <c r="Y26" s="3"/>
      <c r="Z26" s="7">
        <f t="shared" si="7"/>
        <v>2.8851952545724169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290.14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290.14</v>
      </c>
      <c r="M27" s="3"/>
      <c r="N27" s="7">
        <f t="shared" si="3"/>
        <v>0</v>
      </c>
      <c r="O27" s="12"/>
      <c r="P27" s="8">
        <v>1577.77</v>
      </c>
      <c r="Q27" s="3"/>
      <c r="R27" s="7">
        <f t="shared" si="4"/>
        <v>0</v>
      </c>
      <c r="S27" s="3"/>
      <c r="T27" s="8">
        <v>330.33</v>
      </c>
      <c r="U27" s="3"/>
      <c r="V27" s="7">
        <f t="shared" si="5"/>
        <v>0</v>
      </c>
      <c r="W27" s="3"/>
      <c r="X27" s="8">
        <f t="shared" si="6"/>
        <v>1247.44</v>
      </c>
      <c r="Y27" s="3"/>
      <c r="Z27" s="7">
        <f t="shared" si="7"/>
        <v>3.7763448672539583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19848.260000000002</v>
      </c>
      <c r="E28" s="2"/>
      <c r="F28" s="6">
        <f t="shared" si="0"/>
        <v>0</v>
      </c>
      <c r="G28" s="2"/>
      <c r="H28" s="2">
        <f>SUM(OSRRefH22_1x_0)</f>
        <v>19111.760000000002</v>
      </c>
      <c r="I28" s="2"/>
      <c r="J28" s="6">
        <f t="shared" si="1"/>
        <v>0</v>
      </c>
      <c r="K28" s="2"/>
      <c r="L28" s="2">
        <f t="shared" si="2"/>
        <v>736.5</v>
      </c>
      <c r="M28" s="2"/>
      <c r="N28" s="6">
        <f t="shared" si="3"/>
        <v>3.8536482249672446E-2</v>
      </c>
      <c r="O28" s="14"/>
      <c r="P28" s="2">
        <f>SUM(OSRRefP22_1x_0)</f>
        <v>167888.74000000002</v>
      </c>
      <c r="Q28" s="2"/>
      <c r="R28" s="6">
        <f t="shared" si="4"/>
        <v>0</v>
      </c>
      <c r="S28" s="2"/>
      <c r="T28" s="2">
        <f>SUM(OSRRefT22_1x_0)</f>
        <v>110098.47</v>
      </c>
      <c r="U28" s="2"/>
      <c r="V28" s="6">
        <f t="shared" si="5"/>
        <v>0</v>
      </c>
      <c r="W28" s="2"/>
      <c r="X28" s="2">
        <f t="shared" si="6"/>
        <v>57790.270000000019</v>
      </c>
      <c r="Y28" s="2"/>
      <c r="Z28" s="6">
        <f t="shared" si="7"/>
        <v>0.52489621336245651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14939.66</v>
      </c>
      <c r="E29" s="3"/>
      <c r="F29" s="7">
        <f t="shared" si="0"/>
        <v>0</v>
      </c>
      <c r="G29" s="3"/>
      <c r="H29" s="8">
        <v>14215.28</v>
      </c>
      <c r="I29" s="3"/>
      <c r="J29" s="7">
        <f t="shared" si="1"/>
        <v>0</v>
      </c>
      <c r="K29" s="3"/>
      <c r="L29" s="8">
        <f t="shared" si="2"/>
        <v>724.3799999999992</v>
      </c>
      <c r="M29" s="3"/>
      <c r="N29" s="7">
        <f t="shared" si="3"/>
        <v>5.0957842546893145E-2</v>
      </c>
      <c r="O29" s="12"/>
      <c r="P29" s="8">
        <v>129321.36</v>
      </c>
      <c r="Q29" s="3"/>
      <c r="R29" s="7">
        <f t="shared" si="4"/>
        <v>0</v>
      </c>
      <c r="S29" s="3"/>
      <c r="T29" s="8">
        <v>118974.81</v>
      </c>
      <c r="U29" s="3"/>
      <c r="V29" s="7">
        <f t="shared" si="5"/>
        <v>0</v>
      </c>
      <c r="W29" s="3"/>
      <c r="X29" s="8">
        <f t="shared" si="6"/>
        <v>10346.550000000003</v>
      </c>
      <c r="Y29" s="3"/>
      <c r="Z29" s="7">
        <f t="shared" si="7"/>
        <v>8.6964206961120616E-2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4837.72</v>
      </c>
      <c r="E30" s="3"/>
      <c r="F30" s="7">
        <f t="shared" si="0"/>
        <v>0</v>
      </c>
      <c r="G30" s="3"/>
      <c r="H30" s="8">
        <v>4896.4799999999996</v>
      </c>
      <c r="I30" s="3"/>
      <c r="J30" s="7">
        <f t="shared" si="1"/>
        <v>0</v>
      </c>
      <c r="K30" s="3"/>
      <c r="L30" s="8">
        <f t="shared" si="2"/>
        <v>-58.759999999999309</v>
      </c>
      <c r="M30" s="3"/>
      <c r="N30" s="7">
        <f t="shared" si="3"/>
        <v>-1.2000457471489583E-2</v>
      </c>
      <c r="O30" s="12"/>
      <c r="P30" s="8">
        <v>38437.279999999999</v>
      </c>
      <c r="Q30" s="3"/>
      <c r="R30" s="7">
        <f t="shared" si="4"/>
        <v>0</v>
      </c>
      <c r="S30" s="3"/>
      <c r="T30" s="8">
        <v>36080.949999999997</v>
      </c>
      <c r="U30" s="3"/>
      <c r="V30" s="7">
        <f t="shared" si="5"/>
        <v>0</v>
      </c>
      <c r="W30" s="3"/>
      <c r="X30" s="8">
        <f t="shared" si="6"/>
        <v>2356.3300000000017</v>
      </c>
      <c r="Y30" s="3"/>
      <c r="Z30" s="7">
        <f t="shared" si="7"/>
        <v>6.5306761601343702E-2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>
        <v>70.88</v>
      </c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70.88</v>
      </c>
      <c r="M31" s="3"/>
      <c r="N31" s="7">
        <f t="shared" si="3"/>
        <v>0</v>
      </c>
      <c r="O31" s="12"/>
      <c r="P31" s="8">
        <v>70.88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70.88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","6007"," - ","STUDENT HOURLY")</f>
        <v xml:space="preserve">          6007 - STUDENT 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59.22</v>
      </c>
      <c r="Q32" s="3"/>
      <c r="R32" s="7">
        <f t="shared" si="4"/>
        <v>0</v>
      </c>
      <c r="S32" s="3"/>
      <c r="T32" s="8">
        <v>-44957.29</v>
      </c>
      <c r="U32" s="3"/>
      <c r="V32" s="7">
        <f t="shared" si="5"/>
        <v>0</v>
      </c>
      <c r="W32" s="3"/>
      <c r="X32" s="8">
        <f t="shared" si="6"/>
        <v>45016.51</v>
      </c>
      <c r="Y32" s="3"/>
      <c r="Z32" s="7">
        <f t="shared" si="7"/>
        <v>-1.0013172502168168</v>
      </c>
    </row>
    <row r="33" spans="1:26" s="68" customFormat="1" ht="15" customHeight="1" outlineLevel="1" collapsed="1" x14ac:dyDescent="0.3">
      <c r="A33" s="25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0</v>
      </c>
      <c r="E33" s="2"/>
      <c r="F33" s="6">
        <f t="shared" si="0"/>
        <v>0</v>
      </c>
      <c r="G33" s="2"/>
      <c r="H33" s="2">
        <f>SUM(OSRRefH22_2x_0)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SUM(OSRRefP22_2x_0)</f>
        <v>1967.41</v>
      </c>
      <c r="Q33" s="2"/>
      <c r="R33" s="6">
        <f t="shared" si="4"/>
        <v>0</v>
      </c>
      <c r="S33" s="2"/>
      <c r="T33" s="2">
        <f>SUM(OSRRefT22_2x_0)</f>
        <v>66.8</v>
      </c>
      <c r="U33" s="2"/>
      <c r="V33" s="6">
        <f t="shared" si="5"/>
        <v>0</v>
      </c>
      <c r="W33" s="2"/>
      <c r="X33" s="2">
        <f t="shared" si="6"/>
        <v>1900.6100000000001</v>
      </c>
      <c r="Y33" s="2"/>
      <c r="Z33" s="6">
        <f t="shared" si="7"/>
        <v>28.452245508982038</v>
      </c>
    </row>
    <row r="34" spans="1:26" s="69" customFormat="1" ht="15" hidden="1" customHeight="1" outlineLevel="2" x14ac:dyDescent="0.3">
      <c r="A34" s="26"/>
      <c r="B34" s="12" t="str">
        <f>CONCATENATE("          ","6362"," - ","ADVERTISING EXPENSE")</f>
        <v xml:space="preserve">          6362 - ADVERTISING EXPENSE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>
        <v>1967.41</v>
      </c>
      <c r="Q34" s="3"/>
      <c r="R34" s="7">
        <f t="shared" si="4"/>
        <v>0</v>
      </c>
      <c r="S34" s="3"/>
      <c r="T34" s="8">
        <v>66.8</v>
      </c>
      <c r="U34" s="3"/>
      <c r="V34" s="7">
        <f t="shared" si="5"/>
        <v>0</v>
      </c>
      <c r="W34" s="3"/>
      <c r="X34" s="8">
        <f t="shared" si="6"/>
        <v>1900.6100000000001</v>
      </c>
      <c r="Y34" s="3"/>
      <c r="Z34" s="7">
        <f t="shared" si="7"/>
        <v>28.452245508982038</v>
      </c>
    </row>
    <row r="35" spans="1:26" s="68" customFormat="1" ht="15" customHeight="1" outlineLevel="1" collapsed="1" x14ac:dyDescent="0.3">
      <c r="A35" s="25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314.87</v>
      </c>
      <c r="E35" s="2"/>
      <c r="F35" s="6">
        <f t="shared" si="0"/>
        <v>0</v>
      </c>
      <c r="G35" s="2"/>
      <c r="H35" s="2">
        <f>SUM(OSRRefH22_3x_0)</f>
        <v>314.87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2518.96</v>
      </c>
      <c r="Q35" s="2"/>
      <c r="R35" s="6">
        <f t="shared" si="4"/>
        <v>0</v>
      </c>
      <c r="S35" s="2"/>
      <c r="T35" s="2">
        <f>SUM(OSRRefT22_3x_0)</f>
        <v>2518.96</v>
      </c>
      <c r="U35" s="2"/>
      <c r="V35" s="6">
        <f t="shared" si="5"/>
        <v>0</v>
      </c>
      <c r="W35" s="2"/>
      <c r="X35" s="2">
        <f t="shared" si="6"/>
        <v>0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","6322"," - ","EQUIPMENT DEPRECIATION EXPENSE")</f>
        <v xml:space="preserve">          6322 - EQUIPMENT DEPRECIATION EXPENSE</v>
      </c>
      <c r="C36" s="12"/>
      <c r="D36" s="8">
        <v>314.87</v>
      </c>
      <c r="E36" s="3"/>
      <c r="F36" s="7">
        <f t="shared" si="0"/>
        <v>0</v>
      </c>
      <c r="G36" s="3"/>
      <c r="H36" s="8">
        <v>314.87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2518.96</v>
      </c>
      <c r="Q36" s="3"/>
      <c r="R36" s="7">
        <f t="shared" si="4"/>
        <v>0</v>
      </c>
      <c r="S36" s="3"/>
      <c r="T36" s="8">
        <v>2518.96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","Donations                                         ")</f>
        <v xml:space="preserve">     Donations             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25300</v>
      </c>
      <c r="Q37" s="2"/>
      <c r="R37" s="6">
        <f t="shared" si="4"/>
        <v>0</v>
      </c>
      <c r="S37" s="2"/>
      <c r="T37" s="2">
        <f>SUM(OSRRefT22_4x_0)</f>
        <v>25000</v>
      </c>
      <c r="U37" s="2"/>
      <c r="V37" s="6">
        <f t="shared" si="5"/>
        <v>0</v>
      </c>
      <c r="W37" s="2"/>
      <c r="X37" s="2">
        <f t="shared" si="6"/>
        <v>300</v>
      </c>
      <c r="Y37" s="2"/>
      <c r="Z37" s="6">
        <f t="shared" si="7"/>
        <v>1.2E-2</v>
      </c>
    </row>
    <row r="38" spans="1:26" s="69" customFormat="1" ht="15" hidden="1" customHeight="1" outlineLevel="2" x14ac:dyDescent="0.3">
      <c r="A38" s="26"/>
      <c r="B38" s="12" t="str">
        <f>CONCATENATE("          ","6399"," - ","DONATION-ON CAMPUS")</f>
        <v xml:space="preserve">          6399 - DONATION-ON CAMPUS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25300</v>
      </c>
      <c r="Q38" s="3"/>
      <c r="R38" s="7">
        <f t="shared" si="4"/>
        <v>0</v>
      </c>
      <c r="S38" s="3"/>
      <c r="T38" s="8">
        <v>25000</v>
      </c>
      <c r="U38" s="3"/>
      <c r="V38" s="7">
        <f t="shared" si="5"/>
        <v>0</v>
      </c>
      <c r="W38" s="3"/>
      <c r="X38" s="8">
        <f t="shared" si="6"/>
        <v>300</v>
      </c>
      <c r="Y38" s="3"/>
      <c r="Z38" s="7">
        <f t="shared" si="7"/>
        <v>1.2E-2</v>
      </c>
    </row>
    <row r="39" spans="1:26" s="68" customFormat="1" ht="15" customHeight="1" outlineLevel="1" collapsed="1" x14ac:dyDescent="0.3">
      <c r="A39" s="25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SUM(OSRRefD22_5x_0)</f>
        <v>0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SUM(OSRRefP22_5x_0)</f>
        <v>635.58000000000004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635.58000000000004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","6277"," - ","EMPLOYEE APPRECIATION")</f>
        <v xml:space="preserve">          6277 - EMPLOYEE APPRECIATION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635.58000000000004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635.58000000000004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SUM(OSRRefD22_6x_0)</f>
        <v>117.71</v>
      </c>
      <c r="E41" s="2"/>
      <c r="F41" s="6">
        <f t="shared" si="0"/>
        <v>0</v>
      </c>
      <c r="G41" s="2"/>
      <c r="H41" s="2">
        <f>SUM(OSRRefH22_6x_0)</f>
        <v>117.71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941.68</v>
      </c>
      <c r="Q41" s="2"/>
      <c r="R41" s="6">
        <f t="shared" si="4"/>
        <v>0</v>
      </c>
      <c r="S41" s="2"/>
      <c r="T41" s="2">
        <f>SUM(OSRRefT22_6x_0)</f>
        <v>941.68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","6351"," - ","EQUIPMENT RENTAL")</f>
        <v xml:space="preserve">          6351 - EQUIPMENT RENTAL</v>
      </c>
      <c r="C42" s="12"/>
      <c r="D42" s="8">
        <v>117.71</v>
      </c>
      <c r="E42" s="3"/>
      <c r="F42" s="7">
        <f t="shared" si="0"/>
        <v>0</v>
      </c>
      <c r="G42" s="3"/>
      <c r="H42" s="8">
        <v>117.71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941.68</v>
      </c>
      <c r="Q42" s="3"/>
      <c r="R42" s="7">
        <f t="shared" si="4"/>
        <v>0</v>
      </c>
      <c r="S42" s="3"/>
      <c r="T42" s="8">
        <v>941.68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SUM(OSRRefD22_7x_0)</f>
        <v>2.65</v>
      </c>
      <c r="E43" s="2"/>
      <c r="F43" s="6">
        <f t="shared" si="0"/>
        <v>0</v>
      </c>
      <c r="G43" s="2"/>
      <c r="H43" s="2">
        <f>SUM(OSRRefH22_7x_0)</f>
        <v>0</v>
      </c>
      <c r="I43" s="2"/>
      <c r="J43" s="6">
        <f t="shared" si="1"/>
        <v>0</v>
      </c>
      <c r="K43" s="2"/>
      <c r="L43" s="2">
        <f t="shared" si="2"/>
        <v>2.65</v>
      </c>
      <c r="M43" s="2"/>
      <c r="N43" s="6">
        <f t="shared" si="3"/>
        <v>0</v>
      </c>
      <c r="O43" s="14"/>
      <c r="P43" s="2">
        <f>SUM(OSRRefP22_7x_0)</f>
        <v>32.17</v>
      </c>
      <c r="Q43" s="2"/>
      <c r="R43" s="6">
        <f t="shared" si="4"/>
        <v>0</v>
      </c>
      <c r="S43" s="2"/>
      <c r="T43" s="2">
        <f>SUM(OSRRefT22_7x_0)</f>
        <v>65.06</v>
      </c>
      <c r="U43" s="2"/>
      <c r="V43" s="6">
        <f t="shared" si="5"/>
        <v>0</v>
      </c>
      <c r="W43" s="2"/>
      <c r="X43" s="2">
        <f t="shared" si="6"/>
        <v>-32.89</v>
      </c>
      <c r="Y43" s="2"/>
      <c r="Z43" s="6">
        <f t="shared" si="7"/>
        <v>-0.50553335382723641</v>
      </c>
    </row>
    <row r="44" spans="1:26" s="69" customFormat="1" ht="15" hidden="1" customHeight="1" outlineLevel="2" x14ac:dyDescent="0.3">
      <c r="A44" s="26"/>
      <c r="B44" s="12" t="str">
        <f>CONCATENATE("          ","6307"," - ","POSTAGE")</f>
        <v xml:space="preserve">          6307 - POSTAGE</v>
      </c>
      <c r="C44" s="12"/>
      <c r="D44" s="8">
        <v>2.65</v>
      </c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2.65</v>
      </c>
      <c r="M44" s="3"/>
      <c r="N44" s="7">
        <f t="shared" si="3"/>
        <v>0</v>
      </c>
      <c r="O44" s="12"/>
      <c r="P44" s="8">
        <v>32.17</v>
      </c>
      <c r="Q44" s="3"/>
      <c r="R44" s="7">
        <f t="shared" si="4"/>
        <v>0</v>
      </c>
      <c r="S44" s="3"/>
      <c r="T44" s="8">
        <v>65.06</v>
      </c>
      <c r="U44" s="3"/>
      <c r="V44" s="7">
        <f t="shared" si="5"/>
        <v>0</v>
      </c>
      <c r="W44" s="3"/>
      <c r="X44" s="8">
        <f t="shared" si="6"/>
        <v>-32.89</v>
      </c>
      <c r="Y44" s="3"/>
      <c r="Z44" s="7">
        <f t="shared" si="7"/>
        <v>-0.50553335382723641</v>
      </c>
    </row>
    <row r="45" spans="1:26" s="68" customFormat="1" ht="15" customHeight="1" outlineLevel="1" collapsed="1" x14ac:dyDescent="0.3">
      <c r="A45" s="25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SUM(OSRRefD22_8x_0)</f>
        <v>156.47999999999999</v>
      </c>
      <c r="E45" s="2"/>
      <c r="F45" s="6">
        <f t="shared" si="0"/>
        <v>0</v>
      </c>
      <c r="G45" s="2"/>
      <c r="H45" s="2">
        <f>SUM(OSRRefH22_8x_0)</f>
        <v>115.13</v>
      </c>
      <c r="I45" s="2"/>
      <c r="J45" s="6">
        <f t="shared" si="1"/>
        <v>0</v>
      </c>
      <c r="K45" s="2"/>
      <c r="L45" s="2">
        <f t="shared" si="2"/>
        <v>41.349999999999994</v>
      </c>
      <c r="M45" s="2"/>
      <c r="N45" s="6">
        <f t="shared" si="3"/>
        <v>0.35915921132632672</v>
      </c>
      <c r="O45" s="14"/>
      <c r="P45" s="2">
        <f>SUM(OSRRefP22_8x_0)</f>
        <v>1251.8399999999999</v>
      </c>
      <c r="Q45" s="2"/>
      <c r="R45" s="6">
        <f t="shared" si="4"/>
        <v>0</v>
      </c>
      <c r="S45" s="2"/>
      <c r="T45" s="2">
        <f>SUM(OSRRefT22_8x_0)</f>
        <v>921.04</v>
      </c>
      <c r="U45" s="2"/>
      <c r="V45" s="6">
        <f t="shared" si="5"/>
        <v>0</v>
      </c>
      <c r="W45" s="2"/>
      <c r="X45" s="2">
        <f t="shared" si="6"/>
        <v>330.79999999999995</v>
      </c>
      <c r="Y45" s="2"/>
      <c r="Z45" s="6">
        <f t="shared" si="7"/>
        <v>0.35915921132632672</v>
      </c>
    </row>
    <row r="46" spans="1:26" s="69" customFormat="1" ht="15" hidden="1" customHeight="1" outlineLevel="2" x14ac:dyDescent="0.3">
      <c r="A46" s="26"/>
      <c r="B46" s="12" t="str">
        <f>CONCATENATE("          ","6314"," - ","LIABILITY INSURANCE")</f>
        <v xml:space="preserve">          6314 - LIABILITY INSURANCE</v>
      </c>
      <c r="C46" s="12"/>
      <c r="D46" s="8">
        <v>156.47999999999999</v>
      </c>
      <c r="E46" s="3"/>
      <c r="F46" s="7">
        <f t="shared" si="0"/>
        <v>0</v>
      </c>
      <c r="G46" s="3"/>
      <c r="H46" s="8">
        <v>115.13</v>
      </c>
      <c r="I46" s="3"/>
      <c r="J46" s="7">
        <f t="shared" si="1"/>
        <v>0</v>
      </c>
      <c r="K46" s="3"/>
      <c r="L46" s="8">
        <f t="shared" si="2"/>
        <v>41.349999999999994</v>
      </c>
      <c r="M46" s="3"/>
      <c r="N46" s="7">
        <f t="shared" si="3"/>
        <v>0.35915921132632672</v>
      </c>
      <c r="O46" s="12"/>
      <c r="P46" s="8">
        <v>1251.8399999999999</v>
      </c>
      <c r="Q46" s="3"/>
      <c r="R46" s="7">
        <f t="shared" si="4"/>
        <v>0</v>
      </c>
      <c r="S46" s="3"/>
      <c r="T46" s="8">
        <v>921.04</v>
      </c>
      <c r="U46" s="3"/>
      <c r="V46" s="7">
        <f t="shared" si="5"/>
        <v>0</v>
      </c>
      <c r="W46" s="3"/>
      <c r="X46" s="8">
        <f t="shared" si="6"/>
        <v>330.79999999999995</v>
      </c>
      <c r="Y46" s="3"/>
      <c r="Z46" s="7">
        <f t="shared" si="7"/>
        <v>0.35915921132632672</v>
      </c>
    </row>
    <row r="47" spans="1:26" s="68" customFormat="1" ht="15" customHeight="1" outlineLevel="1" collapsed="1" x14ac:dyDescent="0.3">
      <c r="A47" s="25"/>
      <c r="B47" s="14" t="str">
        <f>CONCATENATE("     ","Professional Services                             ")</f>
        <v xml:space="preserve">     Professional Services                             </v>
      </c>
      <c r="C47" s="14"/>
      <c r="D47" s="2">
        <f>SUM(OSRRefD22_9x_0)</f>
        <v>0</v>
      </c>
      <c r="E47" s="2"/>
      <c r="F47" s="6">
        <f t="shared" si="0"/>
        <v>0</v>
      </c>
      <c r="G47" s="2"/>
      <c r="H47" s="2">
        <f>SUM(OSRRefH22_9x_0)</f>
        <v>725</v>
      </c>
      <c r="I47" s="2"/>
      <c r="J47" s="6">
        <f t="shared" si="1"/>
        <v>0</v>
      </c>
      <c r="K47" s="2"/>
      <c r="L47" s="2">
        <f t="shared" si="2"/>
        <v>-725</v>
      </c>
      <c r="M47" s="2"/>
      <c r="N47" s="6">
        <f t="shared" si="3"/>
        <v>-1</v>
      </c>
      <c r="O47" s="14"/>
      <c r="P47" s="2">
        <f>SUM(OSRRefP22_9x_0)</f>
        <v>51875</v>
      </c>
      <c r="Q47" s="2"/>
      <c r="R47" s="6">
        <f t="shared" si="4"/>
        <v>0</v>
      </c>
      <c r="S47" s="2"/>
      <c r="T47" s="2">
        <f>SUM(OSRRefT22_9x_0)</f>
        <v>50379.24</v>
      </c>
      <c r="U47" s="2"/>
      <c r="V47" s="6">
        <f t="shared" si="5"/>
        <v>0</v>
      </c>
      <c r="W47" s="2"/>
      <c r="X47" s="2">
        <f t="shared" si="6"/>
        <v>1495.760000000002</v>
      </c>
      <c r="Y47" s="2"/>
      <c r="Z47" s="6">
        <f t="shared" si="7"/>
        <v>2.9690007233138135E-2</v>
      </c>
    </row>
    <row r="48" spans="1:26" s="69" customFormat="1" ht="15" hidden="1" customHeight="1" outlineLevel="2" x14ac:dyDescent="0.3">
      <c r="A48" s="26"/>
      <c r="B48" s="12" t="str">
        <f>CONCATENATE("          ","6331"," - ","INDIRECT COSTS-AUXILIARY ORGAN")</f>
        <v xml:space="preserve">          6331 - INDIRECT COSTS-AUXILIARY ORGAN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48350</v>
      </c>
      <c r="Q48" s="3"/>
      <c r="R48" s="7">
        <f t="shared" si="4"/>
        <v>0</v>
      </c>
      <c r="S48" s="3"/>
      <c r="T48" s="8">
        <v>45850</v>
      </c>
      <c r="U48" s="3"/>
      <c r="V48" s="7">
        <f t="shared" si="5"/>
        <v>0</v>
      </c>
      <c r="W48" s="3"/>
      <c r="X48" s="8">
        <f t="shared" si="6"/>
        <v>2500</v>
      </c>
      <c r="Y48" s="3"/>
      <c r="Z48" s="7">
        <f t="shared" si="7"/>
        <v>5.4525627044711013E-2</v>
      </c>
    </row>
    <row r="49" spans="1:26" s="69" customFormat="1" ht="15" hidden="1" customHeight="1" outlineLevel="2" x14ac:dyDescent="0.3">
      <c r="A49" s="26"/>
      <c r="B49" s="12" t="str">
        <f>CONCATENATE("          ","6334"," - ","LEGAL COUNCIL EXPENSE")</f>
        <v xml:space="preserve">          6334 - LEGAL COUNCIL EXPENSE</v>
      </c>
      <c r="C49" s="12"/>
      <c r="D49" s="8"/>
      <c r="E49" s="3"/>
      <c r="F49" s="7">
        <f t="shared" si="0"/>
        <v>0</v>
      </c>
      <c r="G49" s="3"/>
      <c r="H49" s="8">
        <v>725</v>
      </c>
      <c r="I49" s="3"/>
      <c r="J49" s="7">
        <f t="shared" si="1"/>
        <v>0</v>
      </c>
      <c r="K49" s="3"/>
      <c r="L49" s="8">
        <f t="shared" si="2"/>
        <v>-725</v>
      </c>
      <c r="M49" s="3"/>
      <c r="N49" s="7">
        <f t="shared" si="3"/>
        <v>-1</v>
      </c>
      <c r="O49" s="12"/>
      <c r="P49" s="8">
        <v>200</v>
      </c>
      <c r="Q49" s="3"/>
      <c r="R49" s="7">
        <f t="shared" si="4"/>
        <v>0</v>
      </c>
      <c r="S49" s="3"/>
      <c r="T49" s="8">
        <v>4529.24</v>
      </c>
      <c r="U49" s="3"/>
      <c r="V49" s="7">
        <f t="shared" si="5"/>
        <v>0</v>
      </c>
      <c r="W49" s="3"/>
      <c r="X49" s="8">
        <f t="shared" si="6"/>
        <v>-4329.24</v>
      </c>
      <c r="Y49" s="3"/>
      <c r="Z49" s="7">
        <f t="shared" si="7"/>
        <v>-0.95584248129929084</v>
      </c>
    </row>
    <row r="50" spans="1:26" s="69" customFormat="1" ht="15" hidden="1" customHeight="1" outlineLevel="2" x14ac:dyDescent="0.3">
      <c r="A50" s="26"/>
      <c r="B50" s="12" t="str">
        <f>CONCATENATE("          ","6336"," - ","PROFESSIONAL SERVICES")</f>
        <v xml:space="preserve">          6336 - PROFESSIONAL SERVICES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3325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3325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5"/>
      <c r="B51" s="14" t="str">
        <f>CONCATENATE("     ","Repair and Maintenance                            ")</f>
        <v xml:space="preserve">     Repair and Maintenance                            </v>
      </c>
      <c r="C51" s="14"/>
      <c r="D51" s="2">
        <f>SUM(OSRRefD22_10x_0)</f>
        <v>2623</v>
      </c>
      <c r="E51" s="2"/>
      <c r="F51" s="6">
        <f t="shared" si="0"/>
        <v>0</v>
      </c>
      <c r="G51" s="2"/>
      <c r="H51" s="2">
        <f>SUM(OSRRefH22_10x_0)</f>
        <v>21.75</v>
      </c>
      <c r="I51" s="2"/>
      <c r="J51" s="6">
        <f t="shared" si="1"/>
        <v>0</v>
      </c>
      <c r="K51" s="2"/>
      <c r="L51" s="2">
        <f t="shared" si="2"/>
        <v>2601.25</v>
      </c>
      <c r="M51" s="2"/>
      <c r="N51" s="6">
        <f t="shared" si="3"/>
        <v>119.59770114942529</v>
      </c>
      <c r="O51" s="14"/>
      <c r="P51" s="2">
        <f>SUM(OSRRefP22_10x_0)</f>
        <v>15922.69</v>
      </c>
      <c r="Q51" s="2"/>
      <c r="R51" s="6">
        <f t="shared" si="4"/>
        <v>0</v>
      </c>
      <c r="S51" s="2"/>
      <c r="T51" s="2">
        <f>SUM(OSRRefT22_10x_0)</f>
        <v>15874.22</v>
      </c>
      <c r="U51" s="2"/>
      <c r="V51" s="6">
        <f t="shared" si="5"/>
        <v>0</v>
      </c>
      <c r="W51" s="2"/>
      <c r="X51" s="2">
        <f t="shared" si="6"/>
        <v>48.470000000001164</v>
      </c>
      <c r="Y51" s="2"/>
      <c r="Z51" s="6">
        <f t="shared" si="7"/>
        <v>3.0533783707168711E-3</v>
      </c>
    </row>
    <row r="52" spans="1:26" s="69" customFormat="1" ht="15" hidden="1" customHeight="1" outlineLevel="2" x14ac:dyDescent="0.3">
      <c r="A52" s="26"/>
      <c r="B52" s="12" t="str">
        <f>CONCATENATE("          ","6373"," - ","MAINTENANCE CONTRACTS")</f>
        <v xml:space="preserve">          6373 - MAINTENANCE CONTRACTS</v>
      </c>
      <c r="C52" s="12"/>
      <c r="D52" s="8">
        <v>2623</v>
      </c>
      <c r="E52" s="3"/>
      <c r="F52" s="7">
        <f t="shared" si="0"/>
        <v>0</v>
      </c>
      <c r="G52" s="3"/>
      <c r="H52" s="8">
        <v>21.75</v>
      </c>
      <c r="I52" s="3"/>
      <c r="J52" s="7">
        <f t="shared" si="1"/>
        <v>0</v>
      </c>
      <c r="K52" s="3"/>
      <c r="L52" s="8">
        <f t="shared" si="2"/>
        <v>2601.25</v>
      </c>
      <c r="M52" s="3"/>
      <c r="N52" s="7">
        <f t="shared" si="3"/>
        <v>119.59770114942529</v>
      </c>
      <c r="O52" s="12"/>
      <c r="P52" s="8">
        <v>15824.7</v>
      </c>
      <c r="Q52" s="3"/>
      <c r="R52" s="7">
        <f t="shared" si="4"/>
        <v>0</v>
      </c>
      <c r="S52" s="3"/>
      <c r="T52" s="8">
        <v>15874.22</v>
      </c>
      <c r="U52" s="3"/>
      <c r="V52" s="7">
        <f t="shared" si="5"/>
        <v>0</v>
      </c>
      <c r="W52" s="3"/>
      <c r="X52" s="8">
        <f t="shared" si="6"/>
        <v>-49.519999999998618</v>
      </c>
      <c r="Y52" s="3"/>
      <c r="Z52" s="7">
        <f t="shared" si="7"/>
        <v>-3.1195233529583578E-3</v>
      </c>
    </row>
    <row r="53" spans="1:26" s="69" customFormat="1" ht="15" hidden="1" customHeight="1" outlineLevel="2" x14ac:dyDescent="0.3">
      <c r="A53" s="26"/>
      <c r="B53" s="12" t="str">
        <f>CONCATENATE("          ","6375"," - ","OUTSIDE REPAIRS &amp; MAINTENANCE")</f>
        <v xml:space="preserve">          6375 - OUTSIDE REPAIRS &amp; MAINTENANCE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97.99</v>
      </c>
      <c r="Q53" s="3"/>
      <c r="R53" s="7">
        <f t="shared" si="4"/>
        <v>0</v>
      </c>
      <c r="S53" s="3"/>
      <c r="T53" s="8"/>
      <c r="U53" s="3"/>
      <c r="V53" s="7">
        <f t="shared" si="5"/>
        <v>0</v>
      </c>
      <c r="W53" s="3"/>
      <c r="X53" s="8">
        <f t="shared" si="6"/>
        <v>97.99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5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2">
        <f>SUM(OSRRefD22_11x_0)</f>
        <v>0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SUM(OSRRefP22_11x_0)</f>
        <v>1000</v>
      </c>
      <c r="Q54" s="2"/>
      <c r="R54" s="6">
        <f t="shared" si="4"/>
        <v>0</v>
      </c>
      <c r="S54" s="2"/>
      <c r="T54" s="2">
        <f>SUM(OSRRefT22_11x_0)</f>
        <v>1725</v>
      </c>
      <c r="U54" s="2"/>
      <c r="V54" s="6">
        <f t="shared" si="5"/>
        <v>0</v>
      </c>
      <c r="W54" s="2"/>
      <c r="X54" s="2">
        <f t="shared" si="6"/>
        <v>-725</v>
      </c>
      <c r="Y54" s="2"/>
      <c r="Z54" s="6">
        <f t="shared" si="7"/>
        <v>-0.42028985507246375</v>
      </c>
    </row>
    <row r="55" spans="1:26" s="69" customFormat="1" ht="15" hidden="1" customHeight="1" outlineLevel="2" x14ac:dyDescent="0.3">
      <c r="A55" s="26"/>
      <c r="B55" s="12" t="str">
        <f>CONCATENATE("          ","6258"," - ","MEMBERSHIP DUES")</f>
        <v xml:space="preserve">          6258 - MEMBERSHIP DUES</v>
      </c>
      <c r="C55" s="12"/>
      <c r="D55" s="8">
        <v>0</v>
      </c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1000</v>
      </c>
      <c r="Q55" s="3"/>
      <c r="R55" s="7">
        <f t="shared" si="4"/>
        <v>0</v>
      </c>
      <c r="S55" s="3"/>
      <c r="T55" s="8">
        <v>1725</v>
      </c>
      <c r="U55" s="3"/>
      <c r="V55" s="7">
        <f t="shared" si="5"/>
        <v>0</v>
      </c>
      <c r="W55" s="3"/>
      <c r="X55" s="8">
        <f t="shared" si="6"/>
        <v>-725</v>
      </c>
      <c r="Y55" s="3"/>
      <c r="Z55" s="7">
        <f t="shared" si="7"/>
        <v>-0.42028985507246375</v>
      </c>
    </row>
    <row r="56" spans="1:26" s="68" customFormat="1" ht="15" customHeight="1" outlineLevel="1" collapsed="1" x14ac:dyDescent="0.3">
      <c r="A56" s="25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SUM(OSRRefD22_12x_0)</f>
        <v>39.69</v>
      </c>
      <c r="E56" s="2"/>
      <c r="F56" s="6">
        <f t="shared" si="0"/>
        <v>0</v>
      </c>
      <c r="G56" s="2"/>
      <c r="H56" s="2">
        <f>SUM(OSRRefH22_12x_0)</f>
        <v>39.69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SUM(OSRRefP22_12x_0)</f>
        <v>409.15</v>
      </c>
      <c r="Q56" s="2"/>
      <c r="R56" s="6">
        <f t="shared" si="4"/>
        <v>0</v>
      </c>
      <c r="S56" s="2"/>
      <c r="T56" s="2">
        <f>SUM(OSRRefT22_12x_0)</f>
        <v>590.51</v>
      </c>
      <c r="U56" s="2"/>
      <c r="V56" s="6">
        <f t="shared" si="5"/>
        <v>0</v>
      </c>
      <c r="W56" s="2"/>
      <c r="X56" s="2">
        <f t="shared" si="6"/>
        <v>-181.36</v>
      </c>
      <c r="Y56" s="2"/>
      <c r="Z56" s="6">
        <f t="shared" si="7"/>
        <v>-0.30712435013801631</v>
      </c>
    </row>
    <row r="57" spans="1:26" s="69" customFormat="1" ht="15" hidden="1" customHeight="1" outlineLevel="2" x14ac:dyDescent="0.3">
      <c r="A57" s="26"/>
      <c r="B57" s="12" t="str">
        <f>CONCATENATE("          ","6235"," - ","COVID-19 EXPENSES")</f>
        <v xml:space="preserve">          6235 - COVID-19 EXPENSES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/>
      <c r="Q57" s="3"/>
      <c r="R57" s="7">
        <f t="shared" si="4"/>
        <v>0</v>
      </c>
      <c r="S57" s="3"/>
      <c r="T57" s="8">
        <v>106.94</v>
      </c>
      <c r="U57" s="3"/>
      <c r="V57" s="7">
        <f t="shared" si="5"/>
        <v>0</v>
      </c>
      <c r="W57" s="3"/>
      <c r="X57" s="8">
        <f t="shared" si="6"/>
        <v>-106.94</v>
      </c>
      <c r="Y57" s="3"/>
      <c r="Z57" s="7">
        <f t="shared" si="7"/>
        <v>-1</v>
      </c>
    </row>
    <row r="58" spans="1:26" s="69" customFormat="1" ht="15" hidden="1" customHeight="1" outlineLevel="2" x14ac:dyDescent="0.3">
      <c r="A58" s="26"/>
      <c r="B58" s="12" t="str">
        <f>CONCATENATE("          ","6241"," - ","OFFICE EXPENSE")</f>
        <v xml:space="preserve">          6241 - OFFICE EXPENSE</v>
      </c>
      <c r="C58" s="12"/>
      <c r="D58" s="8">
        <v>39.69</v>
      </c>
      <c r="E58" s="3"/>
      <c r="F58" s="7">
        <f t="shared" si="0"/>
        <v>0</v>
      </c>
      <c r="G58" s="3"/>
      <c r="H58" s="8">
        <v>39.69</v>
      </c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>
        <v>409.15</v>
      </c>
      <c r="Q58" s="3"/>
      <c r="R58" s="7">
        <f t="shared" si="4"/>
        <v>0</v>
      </c>
      <c r="S58" s="3"/>
      <c r="T58" s="8">
        <v>483.57</v>
      </c>
      <c r="U58" s="3"/>
      <c r="V58" s="7">
        <f t="shared" si="5"/>
        <v>0</v>
      </c>
      <c r="W58" s="3"/>
      <c r="X58" s="8">
        <f t="shared" si="6"/>
        <v>-74.420000000000016</v>
      </c>
      <c r="Y58" s="3"/>
      <c r="Z58" s="7">
        <f t="shared" si="7"/>
        <v>-0.15389705730297581</v>
      </c>
    </row>
    <row r="59" spans="1:26" s="68" customFormat="1" ht="15" customHeight="1" outlineLevel="1" collapsed="1" x14ac:dyDescent="0.3">
      <c r="A59" s="25"/>
      <c r="B59" s="14" t="str">
        <f>CONCATENATE("     ","Telephone/Data Lines                              ")</f>
        <v xml:space="preserve">     Telephone/Data Lines                              </v>
      </c>
      <c r="C59" s="14"/>
      <c r="D59" s="2">
        <f>SUM(OSRRefD22_13x_0)</f>
        <v>436.6</v>
      </c>
      <c r="E59" s="2"/>
      <c r="F59" s="6">
        <f t="shared" si="0"/>
        <v>0</v>
      </c>
      <c r="G59" s="2"/>
      <c r="H59" s="2">
        <f>SUM(OSRRefH22_13x_0)</f>
        <v>249.72</v>
      </c>
      <c r="I59" s="2"/>
      <c r="J59" s="6">
        <f t="shared" si="1"/>
        <v>0</v>
      </c>
      <c r="K59" s="2"/>
      <c r="L59" s="2">
        <f t="shared" si="2"/>
        <v>186.88000000000002</v>
      </c>
      <c r="M59" s="2"/>
      <c r="N59" s="6">
        <f t="shared" si="3"/>
        <v>0.74835816114047748</v>
      </c>
      <c r="O59" s="14"/>
      <c r="P59" s="2">
        <f>SUM(OSRRefP22_13x_0)</f>
        <v>3541.44</v>
      </c>
      <c r="Q59" s="2"/>
      <c r="R59" s="6">
        <f t="shared" si="4"/>
        <v>0</v>
      </c>
      <c r="S59" s="2"/>
      <c r="T59" s="2">
        <f>SUM(OSRRefT22_13x_0)</f>
        <v>3413.87</v>
      </c>
      <c r="U59" s="2"/>
      <c r="V59" s="6">
        <f t="shared" si="5"/>
        <v>0</v>
      </c>
      <c r="W59" s="2"/>
      <c r="X59" s="2">
        <f t="shared" si="6"/>
        <v>127.57000000000016</v>
      </c>
      <c r="Y59" s="2"/>
      <c r="Z59" s="6">
        <f t="shared" si="7"/>
        <v>3.7368148172015975E-2</v>
      </c>
    </row>
    <row r="60" spans="1:26" s="69" customFormat="1" ht="15" hidden="1" customHeight="1" outlineLevel="2" x14ac:dyDescent="0.3">
      <c r="A60" s="26"/>
      <c r="B60" s="12" t="str">
        <f>CONCATENATE("          ","6309"," - ","TELEPHONE")</f>
        <v xml:space="preserve">          6309 - TELEPHONE</v>
      </c>
      <c r="C60" s="12"/>
      <c r="D60" s="8">
        <v>436.6</v>
      </c>
      <c r="E60" s="3"/>
      <c r="F60" s="7">
        <f t="shared" si="0"/>
        <v>0</v>
      </c>
      <c r="G60" s="3"/>
      <c r="H60" s="8">
        <v>249.72</v>
      </c>
      <c r="I60" s="3"/>
      <c r="J60" s="7">
        <f t="shared" si="1"/>
        <v>0</v>
      </c>
      <c r="K60" s="3"/>
      <c r="L60" s="8">
        <f t="shared" si="2"/>
        <v>186.88000000000002</v>
      </c>
      <c r="M60" s="3"/>
      <c r="N60" s="7">
        <f t="shared" si="3"/>
        <v>0.74835816114047748</v>
      </c>
      <c r="O60" s="12"/>
      <c r="P60" s="8">
        <v>3541.44</v>
      </c>
      <c r="Q60" s="3"/>
      <c r="R60" s="7">
        <f t="shared" si="4"/>
        <v>0</v>
      </c>
      <c r="S60" s="3"/>
      <c r="T60" s="8">
        <v>3413.87</v>
      </c>
      <c r="U60" s="3"/>
      <c r="V60" s="7">
        <f t="shared" si="5"/>
        <v>0</v>
      </c>
      <c r="W60" s="3"/>
      <c r="X60" s="8">
        <f t="shared" si="6"/>
        <v>127.57000000000016</v>
      </c>
      <c r="Y60" s="3"/>
      <c r="Z60" s="7">
        <f t="shared" si="7"/>
        <v>3.7368148172015975E-2</v>
      </c>
    </row>
    <row r="61" spans="1:26" s="68" customFormat="1" ht="15" customHeight="1" outlineLevel="1" collapsed="1" x14ac:dyDescent="0.3">
      <c r="A61" s="25"/>
      <c r="B61" s="14" t="str">
        <f>CONCATENATE("     ","Training                                          ")</f>
        <v xml:space="preserve">     Training                                          </v>
      </c>
      <c r="C61" s="14"/>
      <c r="D61" s="2">
        <f>SUM(OSRRefD22_14x_0)</f>
        <v>0</v>
      </c>
      <c r="E61" s="2"/>
      <c r="F61" s="6">
        <f t="shared" si="0"/>
        <v>0</v>
      </c>
      <c r="G61" s="2"/>
      <c r="H61" s="2">
        <f>SUM(OSRRefH22_14x_0)</f>
        <v>150</v>
      </c>
      <c r="I61" s="2"/>
      <c r="J61" s="6">
        <f t="shared" si="1"/>
        <v>0</v>
      </c>
      <c r="K61" s="2"/>
      <c r="L61" s="2">
        <f t="shared" si="2"/>
        <v>-150</v>
      </c>
      <c r="M61" s="2"/>
      <c r="N61" s="6">
        <f t="shared" si="3"/>
        <v>-1</v>
      </c>
      <c r="O61" s="14"/>
      <c r="P61" s="2">
        <f>SUM(OSRRefP22_14x_0)</f>
        <v>595</v>
      </c>
      <c r="Q61" s="2"/>
      <c r="R61" s="6">
        <f t="shared" si="4"/>
        <v>0</v>
      </c>
      <c r="S61" s="2"/>
      <c r="T61" s="2">
        <f>SUM(OSRRefT22_14x_0)</f>
        <v>1276.5</v>
      </c>
      <c r="U61" s="2"/>
      <c r="V61" s="6">
        <f t="shared" si="5"/>
        <v>0</v>
      </c>
      <c r="W61" s="2"/>
      <c r="X61" s="2">
        <f t="shared" si="6"/>
        <v>-681.5</v>
      </c>
      <c r="Y61" s="2"/>
      <c r="Z61" s="6">
        <f t="shared" si="7"/>
        <v>-0.5338817077947513</v>
      </c>
    </row>
    <row r="62" spans="1:26" s="69" customFormat="1" ht="15" hidden="1" customHeight="1" outlineLevel="2" x14ac:dyDescent="0.3">
      <c r="A62" s="26"/>
      <c r="B62" s="12" t="str">
        <f>CONCATENATE("          ","6376"," - ","TRAINING")</f>
        <v xml:space="preserve">          6376 - TRAINING</v>
      </c>
      <c r="C62" s="12"/>
      <c r="D62" s="8"/>
      <c r="E62" s="3"/>
      <c r="F62" s="7">
        <f t="shared" si="0"/>
        <v>0</v>
      </c>
      <c r="G62" s="3"/>
      <c r="H62" s="8">
        <v>150</v>
      </c>
      <c r="I62" s="3"/>
      <c r="J62" s="7">
        <f t="shared" si="1"/>
        <v>0</v>
      </c>
      <c r="K62" s="3"/>
      <c r="L62" s="8">
        <f t="shared" si="2"/>
        <v>-150</v>
      </c>
      <c r="M62" s="3"/>
      <c r="N62" s="7">
        <f t="shared" si="3"/>
        <v>-1</v>
      </c>
      <c r="O62" s="12"/>
      <c r="P62" s="8">
        <v>595</v>
      </c>
      <c r="Q62" s="3"/>
      <c r="R62" s="7">
        <f t="shared" si="4"/>
        <v>0</v>
      </c>
      <c r="S62" s="3"/>
      <c r="T62" s="8">
        <v>1276.5</v>
      </c>
      <c r="U62" s="3"/>
      <c r="V62" s="7">
        <f t="shared" si="5"/>
        <v>0</v>
      </c>
      <c r="W62" s="3"/>
      <c r="X62" s="8">
        <f t="shared" si="6"/>
        <v>-681.5</v>
      </c>
      <c r="Y62" s="3"/>
      <c r="Z62" s="7">
        <f t="shared" si="7"/>
        <v>-0.5338817077947513</v>
      </c>
    </row>
    <row r="63" spans="1:26" s="64" customFormat="1" ht="15" customHeight="1" x14ac:dyDescent="0.3">
      <c r="A63" s="36"/>
      <c r="B63" s="36"/>
      <c r="C63" s="36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3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62" customFormat="1" ht="15" customHeight="1" x14ac:dyDescent="0.3">
      <c r="A64" s="11"/>
      <c r="B64" s="27" t="s">
        <v>290</v>
      </c>
      <c r="C64" s="11"/>
      <c r="D64" s="5">
        <f>SUM(0)</f>
        <v>0</v>
      </c>
      <c r="E64" s="5"/>
      <c r="F64" s="13">
        <f>IF(D$12=0,0,D64/D$12)</f>
        <v>0</v>
      </c>
      <c r="G64" s="5"/>
      <c r="H64" s="5">
        <f>SUM(0)</f>
        <v>0</v>
      </c>
      <c r="I64" s="5"/>
      <c r="J64" s="13">
        <f>IF(H$12=0,0,H64/H$12)</f>
        <v>0</v>
      </c>
      <c r="K64" s="5"/>
      <c r="L64" s="5">
        <f>+D64-H64</f>
        <v>0</v>
      </c>
      <c r="M64" s="5"/>
      <c r="N64" s="13">
        <f>IF(H64=0,0,L64/H64)</f>
        <v>0</v>
      </c>
      <c r="O64" s="11"/>
      <c r="P64" s="5">
        <f>SUM(0)</f>
        <v>0</v>
      </c>
      <c r="Q64" s="5"/>
      <c r="R64" s="13">
        <f>IF(P$12=0,0,P64/P$12)</f>
        <v>0</v>
      </c>
      <c r="S64" s="5"/>
      <c r="T64" s="5">
        <f>SUM(0)</f>
        <v>0</v>
      </c>
      <c r="U64" s="5"/>
      <c r="V64" s="13">
        <f>IF(T$12=0,0,T64/T$12)</f>
        <v>0</v>
      </c>
      <c r="W64" s="5"/>
      <c r="X64" s="5">
        <f>+P64-T64</f>
        <v>0</v>
      </c>
      <c r="Y64" s="5"/>
      <c r="Z64" s="13">
        <f>IF(T64=0,0,X64/T64)</f>
        <v>0</v>
      </c>
    </row>
    <row r="65" spans="1:26" ht="15" customHeight="1" x14ac:dyDescent="0.3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8" t="s">
        <v>291</v>
      </c>
      <c r="C66" s="28"/>
      <c r="D66" s="23">
        <f>+D16-D18+D64</f>
        <v>-34901.280000000006</v>
      </c>
      <c r="E66" s="15"/>
      <c r="F66" s="22">
        <f>IF(D$12=0,0,D66/D$12)</f>
        <v>0</v>
      </c>
      <c r="G66" s="15"/>
      <c r="H66" s="23">
        <f>+H16-H18+H64</f>
        <v>-30894.159999999996</v>
      </c>
      <c r="I66" s="15"/>
      <c r="J66" s="22">
        <f>IF(H$12=0,0,H66/H$12)</f>
        <v>0</v>
      </c>
      <c r="K66" s="17"/>
      <c r="L66" s="23">
        <f>+D66-H66</f>
        <v>-4007.1200000000099</v>
      </c>
      <c r="M66" s="17"/>
      <c r="N66" s="22">
        <f>IF(H66=0,0,L66/H66)</f>
        <v>0.12970477268195704</v>
      </c>
      <c r="O66" s="27"/>
      <c r="P66" s="23">
        <f>+P16-P18+P64</f>
        <v>-391326.17000000004</v>
      </c>
      <c r="Q66" s="15"/>
      <c r="R66" s="22">
        <f>IF(P$12=0,0,P66/P$12)</f>
        <v>0</v>
      </c>
      <c r="S66" s="15"/>
      <c r="T66" s="23">
        <f>+T16-T18+T64</f>
        <v>-299121.87999999989</v>
      </c>
      <c r="U66" s="15"/>
      <c r="V66" s="22">
        <f>IF(T$12=0,0,T66/T$12)</f>
        <v>0</v>
      </c>
      <c r="W66" s="17"/>
      <c r="X66" s="23">
        <f>+P66-T66</f>
        <v>-92204.290000000154</v>
      </c>
      <c r="Y66" s="17"/>
      <c r="Z66" s="22">
        <f>IF(T66=0,0,X66/T66)</f>
        <v>0.30824990134456293</v>
      </c>
    </row>
    <row r="67" spans="1:26" ht="15" customHeight="1" x14ac:dyDescent="0.3">
      <c r="A67" s="10"/>
      <c r="B67" s="11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48"/>
      <c r="B68" s="11" t="s">
        <v>292</v>
      </c>
      <c r="C68" s="11"/>
      <c r="D68" s="5"/>
      <c r="E68" s="5"/>
      <c r="F68" s="13">
        <f>IF(D$12=0,0,D68/D$12)</f>
        <v>0</v>
      </c>
      <c r="G68" s="5"/>
      <c r="H68" s="5"/>
      <c r="I68" s="5"/>
      <c r="J68" s="13">
        <f>IF(H$12=0,0,H68/H$12)</f>
        <v>0</v>
      </c>
      <c r="K68" s="5"/>
      <c r="L68" s="5">
        <f>+D68-H68</f>
        <v>0</v>
      </c>
      <c r="M68" s="5"/>
      <c r="N68" s="13">
        <f>IF(H68=0,0,L68/H68)</f>
        <v>0</v>
      </c>
      <c r="O68" s="11"/>
      <c r="P68" s="5"/>
      <c r="Q68" s="5"/>
      <c r="R68" s="13">
        <f>IF(P$12=0,0,P68/P$12)</f>
        <v>0</v>
      </c>
      <c r="S68" s="5"/>
      <c r="T68" s="5"/>
      <c r="U68" s="5"/>
      <c r="V68" s="13">
        <f>IF(T$12=0,0,T68/T$12)</f>
        <v>0</v>
      </c>
      <c r="W68" s="5"/>
      <c r="X68" s="5">
        <f>+P68-T68</f>
        <v>0</v>
      </c>
      <c r="Y68" s="5"/>
      <c r="Z68" s="13">
        <f>IF(T68=0,0,X68/T68)</f>
        <v>0</v>
      </c>
    </row>
    <row r="69" spans="1:26" ht="15" customHeight="1" x14ac:dyDescent="0.3">
      <c r="A69" s="10"/>
      <c r="B69" s="11"/>
      <c r="C69" s="11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O69" s="11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2" customFormat="1" ht="15" customHeight="1" x14ac:dyDescent="0.3">
      <c r="A70" s="11"/>
      <c r="B70" s="28" t="s">
        <v>293</v>
      </c>
      <c r="C70" s="28"/>
      <c r="D70" s="33">
        <f>+D66-D68</f>
        <v>-34901.280000000006</v>
      </c>
      <c r="E70" s="15"/>
      <c r="F70" s="34">
        <f>IF(D$12=0,0,D70/D$12)</f>
        <v>0</v>
      </c>
      <c r="G70" s="15"/>
      <c r="H70" s="33">
        <f>+H66-H68</f>
        <v>-30894.159999999996</v>
      </c>
      <c r="I70" s="15"/>
      <c r="J70" s="34">
        <f>IF(H$12=0,0,H70/H$12)</f>
        <v>0</v>
      </c>
      <c r="K70" s="17"/>
      <c r="L70" s="33">
        <f>D70-H70</f>
        <v>-4007.1200000000099</v>
      </c>
      <c r="M70" s="17"/>
      <c r="N70" s="34">
        <f>IF(H70=0,0,L70/H70)</f>
        <v>0.12970477268195704</v>
      </c>
      <c r="O70" s="27"/>
      <c r="P70" s="33">
        <f>+P66-P68</f>
        <v>-391326.17000000004</v>
      </c>
      <c r="Q70" s="15"/>
      <c r="R70" s="34">
        <f>IF(P$12=0,0,P70/P$12)</f>
        <v>0</v>
      </c>
      <c r="S70" s="15"/>
      <c r="T70" s="33">
        <f>+T66-T68</f>
        <v>-299121.87999999989</v>
      </c>
      <c r="U70" s="15"/>
      <c r="V70" s="34">
        <f>IF(T$12=0,0,T70/T$12)</f>
        <v>0</v>
      </c>
      <c r="W70" s="17"/>
      <c r="X70" s="33">
        <f>P70-T70</f>
        <v>-92204.290000000154</v>
      </c>
      <c r="Y70" s="17"/>
      <c r="Z70" s="34">
        <f>IF(T70=0,0,X70/T70)</f>
        <v>0.30824990134456293</v>
      </c>
    </row>
    <row r="71" spans="1:26" ht="15" customHeight="1" x14ac:dyDescent="0.3">
      <c r="A71" s="10"/>
      <c r="B71" s="10"/>
      <c r="C71" s="10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8" t="s">
        <v>296</v>
      </c>
      <c r="C73" s="28"/>
      <c r="D73" s="35">
        <f>SUM(D70:D72)</f>
        <v>-34901.280000000006</v>
      </c>
      <c r="E73" s="15"/>
      <c r="F73" s="29">
        <f>IF(D$12=0,0,D73/D$12)</f>
        <v>0</v>
      </c>
      <c r="G73" s="15"/>
      <c r="H73" s="35">
        <f>SUM(H70:H72)</f>
        <v>-30894.159999999996</v>
      </c>
      <c r="I73" s="15"/>
      <c r="J73" s="29">
        <f>IF(H$12=0,0,H73/H$12)</f>
        <v>0</v>
      </c>
      <c r="K73" s="17"/>
      <c r="L73" s="35">
        <f>+D73-H73</f>
        <v>-4007.1200000000099</v>
      </c>
      <c r="M73" s="17"/>
      <c r="N73" s="29">
        <f>IF(H73=0,0,L73/H73)</f>
        <v>0.12970477268195704</v>
      </c>
      <c r="O73" s="27"/>
      <c r="P73" s="35">
        <f>SUM(P70:P72)</f>
        <v>-391326.17000000004</v>
      </c>
      <c r="Q73" s="15"/>
      <c r="R73" s="29">
        <f>IF(P$12=0,0,P73/P$12)</f>
        <v>0</v>
      </c>
      <c r="S73" s="15"/>
      <c r="T73" s="35">
        <f>SUM(T70:T72)</f>
        <v>-299121.87999999989</v>
      </c>
      <c r="U73" s="15"/>
      <c r="V73" s="29">
        <f>IF(T$12=0,0,T73/T$12)</f>
        <v>0</v>
      </c>
      <c r="W73" s="17"/>
      <c r="X73" s="35">
        <f>+P73-T73</f>
        <v>-92204.290000000154</v>
      </c>
      <c r="Y73" s="17"/>
      <c r="Z73" s="29">
        <f>IF(T73=0,0,X73/T73)</f>
        <v>0.30824990134456293</v>
      </c>
    </row>
    <row r="74" spans="1:26" ht="15" customHeight="1" x14ac:dyDescent="0.3">
      <c r="A74" s="10"/>
      <c r="C74" s="10"/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  <row r="75" spans="1:26" ht="15" customHeight="1" x14ac:dyDescent="0.3">
      <c r="A75" s="10"/>
      <c r="B75" s="50">
        <v>44634.887810300927</v>
      </c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3">
      <c r="A76" s="10"/>
      <c r="B76" s="58" t="s">
        <v>297</v>
      </c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  <row r="77" spans="1:26" ht="15" customHeight="1" x14ac:dyDescent="0.3">
      <c r="A77" s="10"/>
      <c r="B77" s="56"/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3"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2A773-15F8-82BD-C96D-CC722A9E7927}">
  <sheetPr>
    <tabColor rgb="FF92D050"/>
    <outlinePr summaryBelow="0" summaryRight="0"/>
  </sheetPr>
  <dimension ref="A2:Z7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","202"," - ","Accounting")</f>
        <v>Department 202 - Accounting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38686.19</v>
      </c>
      <c r="E18" s="21"/>
      <c r="F18" s="30">
        <f t="shared" ref="F18:F57" si="0">IF(D$12=0,0,D18/D$12)</f>
        <v>0</v>
      </c>
      <c r="G18" s="21"/>
      <c r="H18" s="21" cm="1">
        <f t="array" ref="H18">SUM(OSRRefH22x_0)</f>
        <v>49534.039999999994</v>
      </c>
      <c r="I18" s="21"/>
      <c r="J18" s="30">
        <f t="shared" ref="J18:J57" si="1">IF(H$12=0,0,H18/H$12)</f>
        <v>0</v>
      </c>
      <c r="K18" s="5"/>
      <c r="L18" s="21">
        <f t="shared" ref="L18:L57" si="2">+D18-H18</f>
        <v>-10847.849999999991</v>
      </c>
      <c r="M18" s="5"/>
      <c r="N18" s="30">
        <f t="shared" ref="N18:N57" si="3">IF(H18=0,0,L18/H18)</f>
        <v>-0.21899788509073745</v>
      </c>
      <c r="O18" s="11"/>
      <c r="P18" s="21" cm="1">
        <f t="array" ref="P18">SUM(OSRRefP22x_0)</f>
        <v>333022.03000000003</v>
      </c>
      <c r="Q18" s="21"/>
      <c r="R18" s="30">
        <f t="shared" ref="R18:R57" si="4">IF(P$12=0,0,P18/P$12)</f>
        <v>0</v>
      </c>
      <c r="S18" s="21"/>
      <c r="T18" s="21" cm="1">
        <f t="array" ref="T18">SUM(OSRRefT22x_0)</f>
        <v>321504.72999999992</v>
      </c>
      <c r="U18" s="21"/>
      <c r="V18" s="30">
        <f t="shared" ref="V18:V57" si="5">IF(T$12=0,0,T18/T$12)</f>
        <v>0</v>
      </c>
      <c r="W18" s="5"/>
      <c r="X18" s="21">
        <f t="shared" ref="X18:X57" si="6">+P18-T18</f>
        <v>11517.300000000105</v>
      </c>
      <c r="Y18" s="5"/>
      <c r="Z18" s="30">
        <f t="shared" ref="Z18:Z57" si="7">IF(T18=0,0,X18/T18)</f>
        <v>3.5823112151414094E-2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13124.429999999998</v>
      </c>
      <c r="E19" s="2"/>
      <c r="F19" s="6">
        <f t="shared" si="0"/>
        <v>0</v>
      </c>
      <c r="G19" s="2"/>
      <c r="H19" s="2">
        <f>SUM(OSRRefH22_0x_0)</f>
        <v>12793.13</v>
      </c>
      <c r="I19" s="2"/>
      <c r="J19" s="6">
        <f t="shared" si="1"/>
        <v>0</v>
      </c>
      <c r="K19" s="2"/>
      <c r="L19" s="2">
        <f t="shared" si="2"/>
        <v>331.29999999999927</v>
      </c>
      <c r="M19" s="2"/>
      <c r="N19" s="6">
        <f t="shared" si="3"/>
        <v>2.5896711750759922E-2</v>
      </c>
      <c r="O19" s="14"/>
      <c r="P19" s="2">
        <f>SUM(OSRRefP22_0x_0)</f>
        <v>110847.98</v>
      </c>
      <c r="Q19" s="2"/>
      <c r="R19" s="6">
        <f t="shared" si="4"/>
        <v>0</v>
      </c>
      <c r="S19" s="2"/>
      <c r="T19" s="2">
        <f>SUM(OSRRefT22_0x_0)</f>
        <v>106291.81</v>
      </c>
      <c r="U19" s="2"/>
      <c r="V19" s="6">
        <f t="shared" si="5"/>
        <v>0</v>
      </c>
      <c r="W19" s="2"/>
      <c r="X19" s="2">
        <f t="shared" si="6"/>
        <v>4556.1699999999983</v>
      </c>
      <c r="Y19" s="2"/>
      <c r="Z19" s="6">
        <f t="shared" si="7"/>
        <v>4.286473247562534E-2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1695.15</v>
      </c>
      <c r="E20" s="3"/>
      <c r="F20" s="7">
        <f t="shared" si="0"/>
        <v>0</v>
      </c>
      <c r="G20" s="3"/>
      <c r="H20" s="8">
        <v>1630.13</v>
      </c>
      <c r="I20" s="3"/>
      <c r="J20" s="7">
        <f t="shared" si="1"/>
        <v>0</v>
      </c>
      <c r="K20" s="3"/>
      <c r="L20" s="8">
        <f t="shared" si="2"/>
        <v>65.019999999999982</v>
      </c>
      <c r="M20" s="3"/>
      <c r="N20" s="7">
        <f t="shared" si="3"/>
        <v>3.9886389429063925E-2</v>
      </c>
      <c r="O20" s="12"/>
      <c r="P20" s="8">
        <v>14126.39</v>
      </c>
      <c r="Q20" s="3"/>
      <c r="R20" s="7">
        <f t="shared" si="4"/>
        <v>0</v>
      </c>
      <c r="S20" s="3"/>
      <c r="T20" s="8">
        <v>15061.64</v>
      </c>
      <c r="U20" s="3"/>
      <c r="V20" s="7">
        <f t="shared" si="5"/>
        <v>0</v>
      </c>
      <c r="W20" s="3"/>
      <c r="X20" s="8">
        <f t="shared" si="6"/>
        <v>-935.25</v>
      </c>
      <c r="Y20" s="3"/>
      <c r="Z20" s="7">
        <f t="shared" si="7"/>
        <v>-6.2094831638520108E-2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288.89999999999998</v>
      </c>
      <c r="E21" s="3"/>
      <c r="F21" s="7">
        <f t="shared" si="0"/>
        <v>0</v>
      </c>
      <c r="G21" s="3"/>
      <c r="H21" s="8">
        <v>70.319999999999993</v>
      </c>
      <c r="I21" s="3"/>
      <c r="J21" s="7">
        <f t="shared" si="1"/>
        <v>0</v>
      </c>
      <c r="K21" s="3"/>
      <c r="L21" s="8">
        <f t="shared" si="2"/>
        <v>218.57999999999998</v>
      </c>
      <c r="M21" s="3"/>
      <c r="N21" s="7">
        <f t="shared" si="3"/>
        <v>3.1083617747440275</v>
      </c>
      <c r="O21" s="12"/>
      <c r="P21" s="8">
        <v>2420.7199999999998</v>
      </c>
      <c r="Q21" s="3"/>
      <c r="R21" s="7">
        <f t="shared" si="4"/>
        <v>0</v>
      </c>
      <c r="S21" s="3"/>
      <c r="T21" s="8">
        <v>647.89</v>
      </c>
      <c r="U21" s="3"/>
      <c r="V21" s="7">
        <f t="shared" si="5"/>
        <v>0</v>
      </c>
      <c r="W21" s="3"/>
      <c r="X21" s="8">
        <f t="shared" si="6"/>
        <v>1772.83</v>
      </c>
      <c r="Y21" s="3"/>
      <c r="Z21" s="7">
        <f t="shared" si="7"/>
        <v>2.7363132630539133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5721.83</v>
      </c>
      <c r="E22" s="3"/>
      <c r="F22" s="7">
        <f t="shared" si="0"/>
        <v>0</v>
      </c>
      <c r="G22" s="3"/>
      <c r="H22" s="8">
        <v>6236.66</v>
      </c>
      <c r="I22" s="3"/>
      <c r="J22" s="7">
        <f t="shared" si="1"/>
        <v>0</v>
      </c>
      <c r="K22" s="3"/>
      <c r="L22" s="8">
        <f t="shared" si="2"/>
        <v>-514.82999999999993</v>
      </c>
      <c r="M22" s="3"/>
      <c r="N22" s="7">
        <f t="shared" si="3"/>
        <v>-8.2548992569740839E-2</v>
      </c>
      <c r="O22" s="12"/>
      <c r="P22" s="8">
        <v>48818.62</v>
      </c>
      <c r="Q22" s="3"/>
      <c r="R22" s="7">
        <f t="shared" si="4"/>
        <v>0</v>
      </c>
      <c r="S22" s="3"/>
      <c r="T22" s="8">
        <v>47914.6</v>
      </c>
      <c r="U22" s="3"/>
      <c r="V22" s="7">
        <f t="shared" si="5"/>
        <v>0</v>
      </c>
      <c r="W22" s="3"/>
      <c r="X22" s="8">
        <f t="shared" si="6"/>
        <v>904.02000000000407</v>
      </c>
      <c r="Y22" s="3"/>
      <c r="Z22" s="7">
        <f t="shared" si="7"/>
        <v>1.8867318103459155E-2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58.23</v>
      </c>
      <c r="E23" s="3"/>
      <c r="F23" s="7">
        <f t="shared" si="0"/>
        <v>0</v>
      </c>
      <c r="G23" s="3"/>
      <c r="H23" s="8">
        <v>55.4</v>
      </c>
      <c r="I23" s="3"/>
      <c r="J23" s="7">
        <f t="shared" si="1"/>
        <v>0</v>
      </c>
      <c r="K23" s="3"/>
      <c r="L23" s="8">
        <f t="shared" si="2"/>
        <v>2.8299999999999983</v>
      </c>
      <c r="M23" s="3"/>
      <c r="N23" s="7">
        <f t="shared" si="3"/>
        <v>5.1083032490974699E-2</v>
      </c>
      <c r="O23" s="12"/>
      <c r="P23" s="8">
        <v>487.9</v>
      </c>
      <c r="Q23" s="3"/>
      <c r="R23" s="7">
        <f t="shared" si="4"/>
        <v>0</v>
      </c>
      <c r="S23" s="3"/>
      <c r="T23" s="8">
        <v>510.43</v>
      </c>
      <c r="U23" s="3"/>
      <c r="V23" s="7">
        <f t="shared" si="5"/>
        <v>0</v>
      </c>
      <c r="W23" s="3"/>
      <c r="X23" s="8">
        <f t="shared" si="6"/>
        <v>-22.53000000000003</v>
      </c>
      <c r="Y23" s="3"/>
      <c r="Z23" s="7">
        <f t="shared" si="7"/>
        <v>-4.4139255137825031E-2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2025.83</v>
      </c>
      <c r="E24" s="3"/>
      <c r="F24" s="7">
        <f t="shared" si="0"/>
        <v>0</v>
      </c>
      <c r="G24" s="3"/>
      <c r="H24" s="8">
        <v>1978.76</v>
      </c>
      <c r="I24" s="3"/>
      <c r="J24" s="7">
        <f t="shared" si="1"/>
        <v>0</v>
      </c>
      <c r="K24" s="3"/>
      <c r="L24" s="8">
        <f t="shared" si="2"/>
        <v>47.069999999999936</v>
      </c>
      <c r="M24" s="3"/>
      <c r="N24" s="7">
        <f t="shared" si="3"/>
        <v>2.3787624572964856E-2</v>
      </c>
      <c r="O24" s="12"/>
      <c r="P24" s="8">
        <v>16868.84</v>
      </c>
      <c r="Q24" s="3"/>
      <c r="R24" s="7">
        <f t="shared" si="4"/>
        <v>0</v>
      </c>
      <c r="S24" s="3"/>
      <c r="T24" s="8">
        <v>18660.150000000001</v>
      </c>
      <c r="U24" s="3"/>
      <c r="V24" s="7">
        <f t="shared" si="5"/>
        <v>0</v>
      </c>
      <c r="W24" s="3"/>
      <c r="X24" s="8">
        <f t="shared" si="6"/>
        <v>-1791.3100000000013</v>
      </c>
      <c r="Y24" s="3"/>
      <c r="Z24" s="7">
        <f t="shared" si="7"/>
        <v>-9.59965487951598E-2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1670.34</v>
      </c>
      <c r="E25" s="3"/>
      <c r="F25" s="7">
        <f t="shared" si="0"/>
        <v>0</v>
      </c>
      <c r="G25" s="3"/>
      <c r="H25" s="8">
        <v>1606.1</v>
      </c>
      <c r="I25" s="3"/>
      <c r="J25" s="7">
        <f t="shared" si="1"/>
        <v>0</v>
      </c>
      <c r="K25" s="3"/>
      <c r="L25" s="8">
        <f t="shared" si="2"/>
        <v>64.240000000000009</v>
      </c>
      <c r="M25" s="3"/>
      <c r="N25" s="7">
        <f t="shared" si="3"/>
        <v>3.9997509495050126E-2</v>
      </c>
      <c r="O25" s="12"/>
      <c r="P25" s="8">
        <v>12918.87</v>
      </c>
      <c r="Q25" s="3"/>
      <c r="R25" s="7">
        <f t="shared" si="4"/>
        <v>0</v>
      </c>
      <c r="S25" s="3"/>
      <c r="T25" s="8">
        <v>13309.87</v>
      </c>
      <c r="U25" s="3"/>
      <c r="V25" s="7">
        <f t="shared" si="5"/>
        <v>0</v>
      </c>
      <c r="W25" s="3"/>
      <c r="X25" s="8">
        <f t="shared" si="6"/>
        <v>-391</v>
      </c>
      <c r="Y25" s="3"/>
      <c r="Z25" s="7">
        <f t="shared" si="7"/>
        <v>-2.9376695640152758E-2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1018.58</v>
      </c>
      <c r="E26" s="3"/>
      <c r="F26" s="7">
        <f t="shared" si="0"/>
        <v>0</v>
      </c>
      <c r="G26" s="3"/>
      <c r="H26" s="8">
        <v>979.42</v>
      </c>
      <c r="I26" s="3"/>
      <c r="J26" s="7">
        <f t="shared" si="1"/>
        <v>0</v>
      </c>
      <c r="K26" s="3"/>
      <c r="L26" s="8">
        <f t="shared" si="2"/>
        <v>39.160000000000082</v>
      </c>
      <c r="M26" s="3"/>
      <c r="N26" s="7">
        <f t="shared" si="3"/>
        <v>3.9982846991076439E-2</v>
      </c>
      <c r="O26" s="12"/>
      <c r="P26" s="8">
        <v>10926.12</v>
      </c>
      <c r="Q26" s="3"/>
      <c r="R26" s="7">
        <f t="shared" si="4"/>
        <v>0</v>
      </c>
      <c r="S26" s="3"/>
      <c r="T26" s="8">
        <v>8325.07</v>
      </c>
      <c r="U26" s="3"/>
      <c r="V26" s="7">
        <f t="shared" si="5"/>
        <v>0</v>
      </c>
      <c r="W26" s="3"/>
      <c r="X26" s="8">
        <f t="shared" si="6"/>
        <v>2601.0500000000011</v>
      </c>
      <c r="Y26" s="3"/>
      <c r="Z26" s="7">
        <f t="shared" si="7"/>
        <v>0.31243581135053533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645.57000000000005</v>
      </c>
      <c r="E27" s="3"/>
      <c r="F27" s="7">
        <f t="shared" si="0"/>
        <v>0</v>
      </c>
      <c r="G27" s="3"/>
      <c r="H27" s="8">
        <v>236.34</v>
      </c>
      <c r="I27" s="3"/>
      <c r="J27" s="7">
        <f t="shared" si="1"/>
        <v>0</v>
      </c>
      <c r="K27" s="3"/>
      <c r="L27" s="8">
        <f t="shared" si="2"/>
        <v>409.23</v>
      </c>
      <c r="M27" s="3"/>
      <c r="N27" s="7">
        <f t="shared" si="3"/>
        <v>1.7315308453922316</v>
      </c>
      <c r="O27" s="12"/>
      <c r="P27" s="8">
        <v>4280.5200000000004</v>
      </c>
      <c r="Q27" s="3"/>
      <c r="R27" s="7">
        <f t="shared" si="4"/>
        <v>0</v>
      </c>
      <c r="S27" s="3"/>
      <c r="T27" s="8">
        <v>1862.16</v>
      </c>
      <c r="U27" s="3"/>
      <c r="V27" s="7">
        <f t="shared" si="5"/>
        <v>0</v>
      </c>
      <c r="W27" s="3"/>
      <c r="X27" s="8">
        <f t="shared" si="6"/>
        <v>2418.3600000000006</v>
      </c>
      <c r="Y27" s="3"/>
      <c r="Z27" s="7">
        <f t="shared" si="7"/>
        <v>1.2986853976027841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21960.2</v>
      </c>
      <c r="E28" s="2"/>
      <c r="F28" s="6">
        <f t="shared" si="0"/>
        <v>0</v>
      </c>
      <c r="G28" s="2"/>
      <c r="H28" s="2">
        <f>SUM(OSRRefH22_1x_0)</f>
        <v>20037.189999999999</v>
      </c>
      <c r="I28" s="2"/>
      <c r="J28" s="6">
        <f t="shared" si="1"/>
        <v>0</v>
      </c>
      <c r="K28" s="2"/>
      <c r="L28" s="2">
        <f t="shared" si="2"/>
        <v>1923.010000000002</v>
      </c>
      <c r="M28" s="2"/>
      <c r="N28" s="6">
        <f t="shared" si="3"/>
        <v>9.5972039991635658E-2</v>
      </c>
      <c r="O28" s="14"/>
      <c r="P28" s="2">
        <f>SUM(OSRRefP22_1x_0)</f>
        <v>187169.09999999998</v>
      </c>
      <c r="Q28" s="2"/>
      <c r="R28" s="6">
        <f t="shared" si="4"/>
        <v>0</v>
      </c>
      <c r="S28" s="2"/>
      <c r="T28" s="2">
        <f>SUM(OSRRefT22_1x_0)</f>
        <v>171713.31</v>
      </c>
      <c r="U28" s="2"/>
      <c r="V28" s="6">
        <f t="shared" si="5"/>
        <v>0</v>
      </c>
      <c r="W28" s="2"/>
      <c r="X28" s="2">
        <f t="shared" si="6"/>
        <v>15455.789999999979</v>
      </c>
      <c r="Y28" s="2"/>
      <c r="Z28" s="6">
        <f t="shared" si="7"/>
        <v>9.0009271849689335E-2</v>
      </c>
    </row>
    <row r="29" spans="1:26" s="69" customFormat="1" ht="15" hidden="1" customHeight="1" outlineLevel="2" x14ac:dyDescent="0.3">
      <c r="A29" s="26"/>
      <c r="B29" s="12" t="str">
        <f>CONCATENATE("          ","6002"," - ","STAFF SALARIES")</f>
        <v xml:space="preserve">          6002 - STAFF SALARIES</v>
      </c>
      <c r="C29" s="12"/>
      <c r="D29" s="8">
        <v>21564.080000000002</v>
      </c>
      <c r="E29" s="3"/>
      <c r="F29" s="7">
        <f t="shared" si="0"/>
        <v>0</v>
      </c>
      <c r="G29" s="3"/>
      <c r="H29" s="8">
        <v>20037.189999999999</v>
      </c>
      <c r="I29" s="3"/>
      <c r="J29" s="7">
        <f t="shared" si="1"/>
        <v>0</v>
      </c>
      <c r="K29" s="3"/>
      <c r="L29" s="8">
        <f t="shared" si="2"/>
        <v>1526.8900000000031</v>
      </c>
      <c r="M29" s="3"/>
      <c r="N29" s="7">
        <f t="shared" si="3"/>
        <v>7.6202800891741959E-2</v>
      </c>
      <c r="O29" s="12"/>
      <c r="P29" s="8">
        <v>183766.58</v>
      </c>
      <c r="Q29" s="3"/>
      <c r="R29" s="7">
        <f t="shared" si="4"/>
        <v>0</v>
      </c>
      <c r="S29" s="3"/>
      <c r="T29" s="8">
        <v>171331.55</v>
      </c>
      <c r="U29" s="3"/>
      <c r="V29" s="7">
        <f t="shared" si="5"/>
        <v>0</v>
      </c>
      <c r="W29" s="3"/>
      <c r="X29" s="8">
        <f t="shared" si="6"/>
        <v>12435.029999999999</v>
      </c>
      <c r="Y29" s="3"/>
      <c r="Z29" s="7">
        <f t="shared" si="7"/>
        <v>7.257875154926223E-2</v>
      </c>
    </row>
    <row r="30" spans="1:26" s="69" customFormat="1" ht="15" hidden="1" customHeight="1" outlineLevel="2" x14ac:dyDescent="0.3">
      <c r="A30" s="26"/>
      <c r="B30" s="12" t="str">
        <f>CONCATENATE("          ","6005"," - ","TEMPORARY WAGES-HOURLY")</f>
        <v xml:space="preserve">          6005 - TEMPORARY WAGES-HOURLY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265.48</v>
      </c>
      <c r="U30" s="3"/>
      <c r="V30" s="7">
        <f t="shared" si="5"/>
        <v>0</v>
      </c>
      <c r="W30" s="3"/>
      <c r="X30" s="8">
        <f t="shared" si="6"/>
        <v>-265.48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","6007"," - ","STUDENT HOURLY")</f>
        <v xml:space="preserve">          6007 - STUDENT HOURLY</v>
      </c>
      <c r="C31" s="12"/>
      <c r="D31" s="8">
        <v>396.12</v>
      </c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396.12</v>
      </c>
      <c r="M31" s="3"/>
      <c r="N31" s="7">
        <f t="shared" si="3"/>
        <v>0</v>
      </c>
      <c r="O31" s="12"/>
      <c r="P31" s="8">
        <v>3402.52</v>
      </c>
      <c r="Q31" s="3"/>
      <c r="R31" s="7">
        <f t="shared" si="4"/>
        <v>0</v>
      </c>
      <c r="S31" s="3"/>
      <c r="T31" s="8">
        <v>116.28</v>
      </c>
      <c r="U31" s="3"/>
      <c r="V31" s="7">
        <f t="shared" si="5"/>
        <v>0</v>
      </c>
      <c r="W31" s="3"/>
      <c r="X31" s="8">
        <f t="shared" si="6"/>
        <v>3286.24</v>
      </c>
      <c r="Y31" s="3"/>
      <c r="Z31" s="7">
        <f t="shared" si="7"/>
        <v>28.261437908496731</v>
      </c>
    </row>
    <row r="32" spans="1:26" s="68" customFormat="1" ht="15" customHeight="1" outlineLevel="1" collapsed="1" x14ac:dyDescent="0.3">
      <c r="A32" s="25"/>
      <c r="B32" s="14" t="str">
        <f>CONCATENATE("     ","Depreciation                                      ")</f>
        <v xml:space="preserve">     Depreciation                                      </v>
      </c>
      <c r="C32" s="14"/>
      <c r="D32" s="2">
        <f>SUM(OSRRefD22_2x_0)</f>
        <v>1558.84</v>
      </c>
      <c r="E32" s="2"/>
      <c r="F32" s="6">
        <f t="shared" si="0"/>
        <v>0</v>
      </c>
      <c r="G32" s="2"/>
      <c r="H32" s="2">
        <f>SUM(OSRRefH22_2x_0)</f>
        <v>1558.88</v>
      </c>
      <c r="I32" s="2"/>
      <c r="J32" s="6">
        <f t="shared" si="1"/>
        <v>0</v>
      </c>
      <c r="K32" s="2"/>
      <c r="L32" s="2">
        <f t="shared" si="2"/>
        <v>-4.0000000000190994E-2</v>
      </c>
      <c r="M32" s="2"/>
      <c r="N32" s="6">
        <f t="shared" si="3"/>
        <v>-2.5659447808805675E-5</v>
      </c>
      <c r="O32" s="14"/>
      <c r="P32" s="2">
        <f>SUM(OSRRefP22_2x_0)</f>
        <v>12471</v>
      </c>
      <c r="Q32" s="2"/>
      <c r="R32" s="6">
        <f t="shared" si="4"/>
        <v>0</v>
      </c>
      <c r="S32" s="2"/>
      <c r="T32" s="2">
        <f>SUM(OSRRefT22_2x_0)</f>
        <v>12471.04</v>
      </c>
      <c r="U32" s="2"/>
      <c r="V32" s="6">
        <f t="shared" si="5"/>
        <v>0</v>
      </c>
      <c r="W32" s="2"/>
      <c r="X32" s="2">
        <f t="shared" si="6"/>
        <v>-4.0000000000873115E-2</v>
      </c>
      <c r="Y32" s="2"/>
      <c r="Z32" s="6">
        <f t="shared" si="7"/>
        <v>-3.2074309761554057E-6</v>
      </c>
    </row>
    <row r="33" spans="1:26" s="69" customFormat="1" ht="15" hidden="1" customHeight="1" outlineLevel="2" x14ac:dyDescent="0.3">
      <c r="A33" s="26"/>
      <c r="B33" s="12" t="str">
        <f>CONCATENATE("          ","6322"," - ","EQUIPMENT DEPRECIATION EXPENSE")</f>
        <v xml:space="preserve">          6322 - EQUIPMENT DEPRECIATION EXPENSE</v>
      </c>
      <c r="C33" s="12"/>
      <c r="D33" s="8">
        <v>1558.84</v>
      </c>
      <c r="E33" s="3"/>
      <c r="F33" s="7">
        <f t="shared" si="0"/>
        <v>0</v>
      </c>
      <c r="G33" s="3"/>
      <c r="H33" s="8">
        <v>1558.88</v>
      </c>
      <c r="I33" s="3"/>
      <c r="J33" s="7">
        <f t="shared" si="1"/>
        <v>0</v>
      </c>
      <c r="K33" s="3"/>
      <c r="L33" s="8">
        <f t="shared" si="2"/>
        <v>-4.0000000000190994E-2</v>
      </c>
      <c r="M33" s="3"/>
      <c r="N33" s="7">
        <f t="shared" si="3"/>
        <v>-2.5659447808805675E-5</v>
      </c>
      <c r="O33" s="12"/>
      <c r="P33" s="8">
        <v>12471</v>
      </c>
      <c r="Q33" s="3"/>
      <c r="R33" s="7">
        <f t="shared" si="4"/>
        <v>0</v>
      </c>
      <c r="S33" s="3"/>
      <c r="T33" s="8">
        <v>12471.04</v>
      </c>
      <c r="U33" s="3"/>
      <c r="V33" s="7">
        <f t="shared" si="5"/>
        <v>0</v>
      </c>
      <c r="W33" s="3"/>
      <c r="X33" s="8">
        <f t="shared" si="6"/>
        <v>-4.0000000000873115E-2</v>
      </c>
      <c r="Y33" s="3"/>
      <c r="Z33" s="7">
        <f t="shared" si="7"/>
        <v>-3.2074309761554057E-6</v>
      </c>
    </row>
    <row r="34" spans="1:26" s="68" customFormat="1" ht="15" customHeight="1" outlineLevel="1" collapsed="1" x14ac:dyDescent="0.3">
      <c r="A34" s="25"/>
      <c r="B34" s="14" t="str">
        <f>CONCATENATE("     ","Employees' Appreciation                           ")</f>
        <v xml:space="preserve">     Employees' Appreciation                           </v>
      </c>
      <c r="C34" s="14"/>
      <c r="D34" s="2">
        <f>SUM(OSRRefD22_3x_0)</f>
        <v>0</v>
      </c>
      <c r="E34" s="2"/>
      <c r="F34" s="6">
        <f t="shared" si="0"/>
        <v>0</v>
      </c>
      <c r="G34" s="2"/>
      <c r="H34" s="2">
        <f>SUM(OSRRefH22_3x_0)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SUM(OSRRefP22_3x_0)</f>
        <v>8.02</v>
      </c>
      <c r="Q34" s="2"/>
      <c r="R34" s="6">
        <f t="shared" si="4"/>
        <v>0</v>
      </c>
      <c r="S34" s="2"/>
      <c r="T34" s="2">
        <f>SUM(OSRRefT22_3x_0)</f>
        <v>0</v>
      </c>
      <c r="U34" s="2"/>
      <c r="V34" s="6">
        <f t="shared" si="5"/>
        <v>0</v>
      </c>
      <c r="W34" s="2"/>
      <c r="X34" s="2">
        <f t="shared" si="6"/>
        <v>8.02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","6277"," - ","EMPLOYEE APPRECIATION")</f>
        <v xml:space="preserve">          6277 - EMPLOYEE APPRECIATION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8.02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8.02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","Equipment Rental                                  ")</f>
        <v xml:space="preserve">     Equipment Rental                                  </v>
      </c>
      <c r="C36" s="14"/>
      <c r="D36" s="2">
        <f>SUM(OSRRefD22_4x_0)</f>
        <v>91.26</v>
      </c>
      <c r="E36" s="2"/>
      <c r="F36" s="6">
        <f t="shared" si="0"/>
        <v>0</v>
      </c>
      <c r="G36" s="2"/>
      <c r="H36" s="2">
        <f>SUM(OSRRefH22_4x_0)</f>
        <v>91.26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SUM(OSRRefP22_4x_0)</f>
        <v>730.08</v>
      </c>
      <c r="Q36" s="2"/>
      <c r="R36" s="6">
        <f t="shared" si="4"/>
        <v>0</v>
      </c>
      <c r="S36" s="2"/>
      <c r="T36" s="2">
        <f>SUM(OSRRefT22_4x_0)</f>
        <v>730.08</v>
      </c>
      <c r="U36" s="2"/>
      <c r="V36" s="6">
        <f t="shared" si="5"/>
        <v>0</v>
      </c>
      <c r="W36" s="2"/>
      <c r="X36" s="2">
        <f t="shared" si="6"/>
        <v>0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","6351"," - ","EQUIPMENT RENTAL")</f>
        <v xml:space="preserve">          6351 - EQUIPMENT RENTAL</v>
      </c>
      <c r="C37" s="12"/>
      <c r="D37" s="8">
        <v>91.26</v>
      </c>
      <c r="E37" s="3"/>
      <c r="F37" s="7">
        <f t="shared" si="0"/>
        <v>0</v>
      </c>
      <c r="G37" s="3"/>
      <c r="H37" s="8">
        <v>91.26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730.08</v>
      </c>
      <c r="Q37" s="3"/>
      <c r="R37" s="7">
        <f t="shared" si="4"/>
        <v>0</v>
      </c>
      <c r="S37" s="3"/>
      <c r="T37" s="8">
        <v>730.08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","Freight out/Postage                               ")</f>
        <v xml:space="preserve">     Freight out/Postage                               </v>
      </c>
      <c r="C38" s="14"/>
      <c r="D38" s="2">
        <f>SUM(OSRRefD22_5x_0)</f>
        <v>154.76</v>
      </c>
      <c r="E38" s="2"/>
      <c r="F38" s="6">
        <f t="shared" si="0"/>
        <v>0</v>
      </c>
      <c r="G38" s="2"/>
      <c r="H38" s="2">
        <f>SUM(OSRRefH22_5x_0)</f>
        <v>16.829999999999998</v>
      </c>
      <c r="I38" s="2"/>
      <c r="J38" s="6">
        <f t="shared" si="1"/>
        <v>0</v>
      </c>
      <c r="K38" s="2"/>
      <c r="L38" s="2">
        <f t="shared" si="2"/>
        <v>137.93</v>
      </c>
      <c r="M38" s="2"/>
      <c r="N38" s="6">
        <f t="shared" si="3"/>
        <v>8.1954842543077842</v>
      </c>
      <c r="O38" s="14"/>
      <c r="P38" s="2">
        <f>SUM(OSRRefP22_5x_0)</f>
        <v>1071.25</v>
      </c>
      <c r="Q38" s="2"/>
      <c r="R38" s="6">
        <f t="shared" si="4"/>
        <v>0</v>
      </c>
      <c r="S38" s="2"/>
      <c r="T38" s="2">
        <f>SUM(OSRRefT22_5x_0)</f>
        <v>734.96999999999991</v>
      </c>
      <c r="U38" s="2"/>
      <c r="V38" s="6">
        <f t="shared" si="5"/>
        <v>0</v>
      </c>
      <c r="W38" s="2"/>
      <c r="X38" s="2">
        <f t="shared" si="6"/>
        <v>336.28000000000009</v>
      </c>
      <c r="Y38" s="2"/>
      <c r="Z38" s="6">
        <f t="shared" si="7"/>
        <v>0.45754248472726794</v>
      </c>
    </row>
    <row r="39" spans="1:26" s="69" customFormat="1" ht="15" hidden="1" customHeight="1" outlineLevel="2" x14ac:dyDescent="0.3">
      <c r="A39" s="26"/>
      <c r="B39" s="12" t="str">
        <f>CONCATENATE("          ","6305"," - ","FREIGHT OUT")</f>
        <v xml:space="preserve">          6305 - FREIGHT OUT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5.41</v>
      </c>
      <c r="U39" s="3"/>
      <c r="V39" s="7">
        <f t="shared" si="5"/>
        <v>0</v>
      </c>
      <c r="W39" s="3"/>
      <c r="X39" s="8">
        <f t="shared" si="6"/>
        <v>-5.41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","6307"," - ","POSTAGE")</f>
        <v xml:space="preserve">          6307 - POSTAGE</v>
      </c>
      <c r="C40" s="12"/>
      <c r="D40" s="8">
        <v>154.76</v>
      </c>
      <c r="E40" s="3"/>
      <c r="F40" s="7">
        <f t="shared" si="0"/>
        <v>0</v>
      </c>
      <c r="G40" s="3"/>
      <c r="H40" s="8">
        <v>16.829999999999998</v>
      </c>
      <c r="I40" s="3"/>
      <c r="J40" s="7">
        <f t="shared" si="1"/>
        <v>0</v>
      </c>
      <c r="K40" s="3"/>
      <c r="L40" s="8">
        <f t="shared" si="2"/>
        <v>137.93</v>
      </c>
      <c r="M40" s="3"/>
      <c r="N40" s="7">
        <f t="shared" si="3"/>
        <v>8.1954842543077842</v>
      </c>
      <c r="O40" s="12"/>
      <c r="P40" s="8">
        <v>1071.25</v>
      </c>
      <c r="Q40" s="3"/>
      <c r="R40" s="7">
        <f t="shared" si="4"/>
        <v>0</v>
      </c>
      <c r="S40" s="3"/>
      <c r="T40" s="8">
        <v>729.56</v>
      </c>
      <c r="U40" s="3"/>
      <c r="V40" s="7">
        <f t="shared" si="5"/>
        <v>0</v>
      </c>
      <c r="W40" s="3"/>
      <c r="X40" s="8">
        <f t="shared" si="6"/>
        <v>341.69000000000005</v>
      </c>
      <c r="Y40" s="3"/>
      <c r="Z40" s="7">
        <f t="shared" si="7"/>
        <v>0.46835078677559089</v>
      </c>
    </row>
    <row r="41" spans="1:26" s="68" customFormat="1" ht="15" customHeight="1" outlineLevel="1" collapsed="1" x14ac:dyDescent="0.3">
      <c r="A41" s="25"/>
      <c r="B41" s="14" t="str">
        <f>CONCATENATE("     ","Insurance                                         ")</f>
        <v xml:space="preserve">     Insurance                                         </v>
      </c>
      <c r="C41" s="14"/>
      <c r="D41" s="2">
        <f>SUM(OSRRefD22_6x_0)</f>
        <v>179.64</v>
      </c>
      <c r="E41" s="2"/>
      <c r="F41" s="6">
        <f t="shared" si="0"/>
        <v>0</v>
      </c>
      <c r="G41" s="2"/>
      <c r="H41" s="2">
        <f>SUM(OSRRefH22_6x_0)</f>
        <v>132.16999999999999</v>
      </c>
      <c r="I41" s="2"/>
      <c r="J41" s="6">
        <f t="shared" si="1"/>
        <v>0</v>
      </c>
      <c r="K41" s="2"/>
      <c r="L41" s="2">
        <f t="shared" si="2"/>
        <v>47.47</v>
      </c>
      <c r="M41" s="2"/>
      <c r="N41" s="6">
        <f t="shared" si="3"/>
        <v>0.35915865930241359</v>
      </c>
      <c r="O41" s="14"/>
      <c r="P41" s="2">
        <f>SUM(OSRRefP22_6x_0)</f>
        <v>1437.12</v>
      </c>
      <c r="Q41" s="2"/>
      <c r="R41" s="6">
        <f t="shared" si="4"/>
        <v>0</v>
      </c>
      <c r="S41" s="2"/>
      <c r="T41" s="2">
        <f>SUM(OSRRefT22_6x_0)</f>
        <v>1057.3599999999999</v>
      </c>
      <c r="U41" s="2"/>
      <c r="V41" s="6">
        <f t="shared" si="5"/>
        <v>0</v>
      </c>
      <c r="W41" s="2"/>
      <c r="X41" s="2">
        <f t="shared" si="6"/>
        <v>379.76</v>
      </c>
      <c r="Y41" s="2"/>
      <c r="Z41" s="6">
        <f t="shared" si="7"/>
        <v>0.35915865930241359</v>
      </c>
    </row>
    <row r="42" spans="1:26" s="69" customFormat="1" ht="15" hidden="1" customHeight="1" outlineLevel="2" x14ac:dyDescent="0.3">
      <c r="A42" s="26"/>
      <c r="B42" s="12" t="str">
        <f>CONCATENATE("          ","6314"," - ","LIABILITY INSURANCE")</f>
        <v xml:space="preserve">          6314 - LIABILITY INSURANCE</v>
      </c>
      <c r="C42" s="12"/>
      <c r="D42" s="8">
        <v>179.64</v>
      </c>
      <c r="E42" s="3"/>
      <c r="F42" s="7">
        <f t="shared" si="0"/>
        <v>0</v>
      </c>
      <c r="G42" s="3"/>
      <c r="H42" s="8">
        <v>132.16999999999999</v>
      </c>
      <c r="I42" s="3"/>
      <c r="J42" s="7">
        <f t="shared" si="1"/>
        <v>0</v>
      </c>
      <c r="K42" s="3"/>
      <c r="L42" s="8">
        <f t="shared" si="2"/>
        <v>47.47</v>
      </c>
      <c r="M42" s="3"/>
      <c r="N42" s="7">
        <f t="shared" si="3"/>
        <v>0.35915865930241359</v>
      </c>
      <c r="O42" s="12"/>
      <c r="P42" s="8">
        <v>1437.12</v>
      </c>
      <c r="Q42" s="3"/>
      <c r="R42" s="7">
        <f t="shared" si="4"/>
        <v>0</v>
      </c>
      <c r="S42" s="3"/>
      <c r="T42" s="8">
        <v>1057.3599999999999</v>
      </c>
      <c r="U42" s="3"/>
      <c r="V42" s="7">
        <f t="shared" si="5"/>
        <v>0</v>
      </c>
      <c r="W42" s="3"/>
      <c r="X42" s="8">
        <f t="shared" si="6"/>
        <v>379.76</v>
      </c>
      <c r="Y42" s="3"/>
      <c r="Z42" s="7">
        <f t="shared" si="7"/>
        <v>0.35915865930241359</v>
      </c>
    </row>
    <row r="43" spans="1:26" s="68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SUM(OSRRefD22_7x_0)</f>
        <v>73.36</v>
      </c>
      <c r="E43" s="2"/>
      <c r="F43" s="6">
        <f t="shared" si="0"/>
        <v>0</v>
      </c>
      <c r="G43" s="2"/>
      <c r="H43" s="2">
        <f>SUM(OSRRefH22_7x_0)</f>
        <v>11459.94</v>
      </c>
      <c r="I43" s="2"/>
      <c r="J43" s="6">
        <f t="shared" si="1"/>
        <v>0</v>
      </c>
      <c r="K43" s="2"/>
      <c r="L43" s="2">
        <f t="shared" si="2"/>
        <v>-11386.58</v>
      </c>
      <c r="M43" s="2"/>
      <c r="N43" s="6">
        <f t="shared" si="3"/>
        <v>-0.99359857032410281</v>
      </c>
      <c r="O43" s="14"/>
      <c r="P43" s="2">
        <f>SUM(OSRRefP22_7x_0)</f>
        <v>7275.8099999999995</v>
      </c>
      <c r="Q43" s="2"/>
      <c r="R43" s="6">
        <f t="shared" si="4"/>
        <v>0</v>
      </c>
      <c r="S43" s="2"/>
      <c r="T43" s="2">
        <f>SUM(OSRRefT22_7x_0)</f>
        <v>17076.969999999998</v>
      </c>
      <c r="U43" s="2"/>
      <c r="V43" s="6">
        <f t="shared" si="5"/>
        <v>0</v>
      </c>
      <c r="W43" s="2"/>
      <c r="X43" s="2">
        <f t="shared" si="6"/>
        <v>-9801.159999999998</v>
      </c>
      <c r="Y43" s="2"/>
      <c r="Z43" s="6">
        <f t="shared" si="7"/>
        <v>-0.57394022475884188</v>
      </c>
    </row>
    <row r="44" spans="1:26" s="69" customFormat="1" ht="15" hidden="1" customHeight="1" outlineLevel="2" x14ac:dyDescent="0.3">
      <c r="A44" s="26"/>
      <c r="B44" s="12" t="str">
        <f>CONCATENATE("          ","6371"," - ","COMPUTER SOFTWARE MAINTENANCE")</f>
        <v xml:space="preserve">          6371 - COMPUTER SOFTWARE MAINTENANCE</v>
      </c>
      <c r="C44" s="12"/>
      <c r="D44" s="8">
        <v>59.95</v>
      </c>
      <c r="E44" s="3"/>
      <c r="F44" s="7">
        <f t="shared" si="0"/>
        <v>0</v>
      </c>
      <c r="G44" s="3"/>
      <c r="H44" s="8">
        <v>11325.82</v>
      </c>
      <c r="I44" s="3"/>
      <c r="J44" s="7">
        <f t="shared" si="1"/>
        <v>0</v>
      </c>
      <c r="K44" s="3"/>
      <c r="L44" s="8">
        <f t="shared" si="2"/>
        <v>-11265.869999999999</v>
      </c>
      <c r="M44" s="3"/>
      <c r="N44" s="7">
        <f t="shared" si="3"/>
        <v>-0.99470678502748577</v>
      </c>
      <c r="O44" s="12"/>
      <c r="P44" s="8">
        <v>479.6</v>
      </c>
      <c r="Q44" s="3"/>
      <c r="R44" s="7">
        <f t="shared" si="4"/>
        <v>0</v>
      </c>
      <c r="S44" s="3"/>
      <c r="T44" s="8">
        <v>12281.72</v>
      </c>
      <c r="U44" s="3"/>
      <c r="V44" s="7">
        <f t="shared" si="5"/>
        <v>0</v>
      </c>
      <c r="W44" s="3"/>
      <c r="X44" s="8">
        <f t="shared" si="6"/>
        <v>-11802.119999999999</v>
      </c>
      <c r="Y44" s="3"/>
      <c r="Z44" s="7">
        <f t="shared" si="7"/>
        <v>-0.96095009493784256</v>
      </c>
    </row>
    <row r="45" spans="1:26" s="69" customFormat="1" ht="15" hidden="1" customHeight="1" outlineLevel="2" x14ac:dyDescent="0.3">
      <c r="A45" s="26"/>
      <c r="B45" s="12" t="str">
        <f>CONCATENATE("          ","6373"," - ","MAINTENANCE CONTRACTS")</f>
        <v xml:space="preserve">          6373 - MAINTENANCE CONTRACTS</v>
      </c>
      <c r="C45" s="12"/>
      <c r="D45" s="8">
        <v>13.41</v>
      </c>
      <c r="E45" s="3"/>
      <c r="F45" s="7">
        <f t="shared" si="0"/>
        <v>0</v>
      </c>
      <c r="G45" s="3"/>
      <c r="H45" s="8">
        <v>7.1</v>
      </c>
      <c r="I45" s="3"/>
      <c r="J45" s="7">
        <f t="shared" si="1"/>
        <v>0</v>
      </c>
      <c r="K45" s="3"/>
      <c r="L45" s="8">
        <f t="shared" si="2"/>
        <v>6.3100000000000005</v>
      </c>
      <c r="M45" s="3"/>
      <c r="N45" s="7">
        <f t="shared" si="3"/>
        <v>0.88873239436619733</v>
      </c>
      <c r="O45" s="12"/>
      <c r="P45" s="8">
        <v>5238.6499999999996</v>
      </c>
      <c r="Q45" s="3"/>
      <c r="R45" s="7">
        <f t="shared" si="4"/>
        <v>0</v>
      </c>
      <c r="S45" s="3"/>
      <c r="T45" s="8">
        <v>4668.2299999999996</v>
      </c>
      <c r="U45" s="3"/>
      <c r="V45" s="7">
        <f t="shared" si="5"/>
        <v>0</v>
      </c>
      <c r="W45" s="3"/>
      <c r="X45" s="8">
        <f t="shared" si="6"/>
        <v>570.42000000000007</v>
      </c>
      <c r="Y45" s="3"/>
      <c r="Z45" s="7">
        <f t="shared" si="7"/>
        <v>0.12219192284870285</v>
      </c>
    </row>
    <row r="46" spans="1:26" s="69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8"/>
      <c r="E46" s="3"/>
      <c r="F46" s="7">
        <f t="shared" si="0"/>
        <v>0</v>
      </c>
      <c r="G46" s="3"/>
      <c r="H46" s="8">
        <v>127.02</v>
      </c>
      <c r="I46" s="3"/>
      <c r="J46" s="7">
        <f t="shared" si="1"/>
        <v>0</v>
      </c>
      <c r="K46" s="3"/>
      <c r="L46" s="8">
        <f t="shared" si="2"/>
        <v>-127.02</v>
      </c>
      <c r="M46" s="3"/>
      <c r="N46" s="7">
        <f t="shared" si="3"/>
        <v>-1</v>
      </c>
      <c r="O46" s="12"/>
      <c r="P46" s="8">
        <v>1557.56</v>
      </c>
      <c r="Q46" s="3"/>
      <c r="R46" s="7">
        <f t="shared" si="4"/>
        <v>0</v>
      </c>
      <c r="S46" s="3"/>
      <c r="T46" s="8">
        <v>127.02</v>
      </c>
      <c r="U46" s="3"/>
      <c r="V46" s="7">
        <f t="shared" si="5"/>
        <v>0</v>
      </c>
      <c r="W46" s="3"/>
      <c r="X46" s="8">
        <f t="shared" si="6"/>
        <v>1430.54</v>
      </c>
      <c r="Y46" s="3"/>
      <c r="Z46" s="7">
        <f t="shared" si="7"/>
        <v>11.262320894347347</v>
      </c>
    </row>
    <row r="47" spans="1:26" s="68" customFormat="1" ht="15" customHeight="1" outlineLevel="1" collapsed="1" x14ac:dyDescent="0.3">
      <c r="A47" s="25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SUM(OSRRefD22_8x_0)</f>
        <v>961.14</v>
      </c>
      <c r="E47" s="2"/>
      <c r="F47" s="6">
        <f t="shared" si="0"/>
        <v>0</v>
      </c>
      <c r="G47" s="2"/>
      <c r="H47" s="2">
        <f>SUM(OSRRefH22_8x_0)</f>
        <v>621.34</v>
      </c>
      <c r="I47" s="2"/>
      <c r="J47" s="6">
        <f t="shared" si="1"/>
        <v>0</v>
      </c>
      <c r="K47" s="2"/>
      <c r="L47" s="2">
        <f t="shared" si="2"/>
        <v>339.79999999999995</v>
      </c>
      <c r="M47" s="2"/>
      <c r="N47" s="6">
        <f t="shared" si="3"/>
        <v>0.54688254417871041</v>
      </c>
      <c r="O47" s="14"/>
      <c r="P47" s="2">
        <f>SUM(OSRRefP22_8x_0)</f>
        <v>6166.6</v>
      </c>
      <c r="Q47" s="2"/>
      <c r="R47" s="6">
        <f t="shared" si="4"/>
        <v>0</v>
      </c>
      <c r="S47" s="2"/>
      <c r="T47" s="2">
        <f>SUM(OSRRefT22_8x_0)</f>
        <v>4329.0200000000004</v>
      </c>
      <c r="U47" s="2"/>
      <c r="V47" s="6">
        <f t="shared" si="5"/>
        <v>0</v>
      </c>
      <c r="W47" s="2"/>
      <c r="X47" s="2">
        <f t="shared" si="6"/>
        <v>1837.58</v>
      </c>
      <c r="Y47" s="2"/>
      <c r="Z47" s="6">
        <f t="shared" si="7"/>
        <v>0.4244794433844149</v>
      </c>
    </row>
    <row r="48" spans="1:26" s="69" customFormat="1" ht="15" hidden="1" customHeight="1" outlineLevel="2" x14ac:dyDescent="0.3">
      <c r="A48" s="26"/>
      <c r="B48" s="12" t="str">
        <f>CONCATENATE("          ","6281"," - ","STORAGE FEE")</f>
        <v xml:space="preserve">          6281 - STORAGE FEE</v>
      </c>
      <c r="C48" s="12"/>
      <c r="D48" s="8">
        <v>961.14</v>
      </c>
      <c r="E48" s="3"/>
      <c r="F48" s="7">
        <f t="shared" si="0"/>
        <v>0</v>
      </c>
      <c r="G48" s="3"/>
      <c r="H48" s="8">
        <v>621.34</v>
      </c>
      <c r="I48" s="3"/>
      <c r="J48" s="7">
        <f t="shared" si="1"/>
        <v>0</v>
      </c>
      <c r="K48" s="3"/>
      <c r="L48" s="8">
        <f t="shared" si="2"/>
        <v>339.79999999999995</v>
      </c>
      <c r="M48" s="3"/>
      <c r="N48" s="7">
        <f t="shared" si="3"/>
        <v>0.54688254417871041</v>
      </c>
      <c r="O48" s="12"/>
      <c r="P48" s="8">
        <v>6166.6</v>
      </c>
      <c r="Q48" s="3"/>
      <c r="R48" s="7">
        <f t="shared" si="4"/>
        <v>0</v>
      </c>
      <c r="S48" s="3"/>
      <c r="T48" s="8">
        <v>4329.0200000000004</v>
      </c>
      <c r="U48" s="3"/>
      <c r="V48" s="7">
        <f t="shared" si="5"/>
        <v>0</v>
      </c>
      <c r="W48" s="3"/>
      <c r="X48" s="8">
        <f t="shared" si="6"/>
        <v>1837.58</v>
      </c>
      <c r="Y48" s="3"/>
      <c r="Z48" s="7">
        <f t="shared" si="7"/>
        <v>0.4244794433844149</v>
      </c>
    </row>
    <row r="49" spans="1:26" s="68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SUM(OSRRefD22_9x_0)</f>
        <v>126.09</v>
      </c>
      <c r="E49" s="2"/>
      <c r="F49" s="6">
        <f t="shared" si="0"/>
        <v>0</v>
      </c>
      <c r="G49" s="2"/>
      <c r="H49" s="2">
        <f>SUM(OSRRefH22_9x_0)</f>
        <v>1241.08</v>
      </c>
      <c r="I49" s="2"/>
      <c r="J49" s="6">
        <f t="shared" si="1"/>
        <v>0</v>
      </c>
      <c r="K49" s="2"/>
      <c r="L49" s="2">
        <f t="shared" si="2"/>
        <v>-1114.99</v>
      </c>
      <c r="M49" s="2"/>
      <c r="N49" s="6">
        <f t="shared" si="3"/>
        <v>-0.89840300383536931</v>
      </c>
      <c r="O49" s="14"/>
      <c r="P49" s="2">
        <f>SUM(OSRRefP22_9x_0)</f>
        <v>1782.55</v>
      </c>
      <c r="Q49" s="2"/>
      <c r="R49" s="6">
        <f t="shared" si="4"/>
        <v>0</v>
      </c>
      <c r="S49" s="2"/>
      <c r="T49" s="2">
        <f>SUM(OSRRefT22_9x_0)</f>
        <v>2023.97</v>
      </c>
      <c r="U49" s="2"/>
      <c r="V49" s="6">
        <f t="shared" si="5"/>
        <v>0</v>
      </c>
      <c r="W49" s="2"/>
      <c r="X49" s="2">
        <f t="shared" si="6"/>
        <v>-241.42000000000007</v>
      </c>
      <c r="Y49" s="2"/>
      <c r="Z49" s="6">
        <f t="shared" si="7"/>
        <v>-0.11928042411695829</v>
      </c>
    </row>
    <row r="50" spans="1:26" s="69" customFormat="1" ht="15" hidden="1" customHeight="1" outlineLevel="2" x14ac:dyDescent="0.3">
      <c r="A50" s="26"/>
      <c r="B50" s="12" t="str">
        <f>CONCATENATE("          ","6235"," - ","COVID-19 EXPENSES")</f>
        <v xml:space="preserve">          6235 - COVID-19 EXPENSES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/>
      <c r="Q50" s="3"/>
      <c r="R50" s="7">
        <f t="shared" si="4"/>
        <v>0</v>
      </c>
      <c r="S50" s="3"/>
      <c r="T50" s="8">
        <v>426.66</v>
      </c>
      <c r="U50" s="3"/>
      <c r="V50" s="7">
        <f t="shared" si="5"/>
        <v>0</v>
      </c>
      <c r="W50" s="3"/>
      <c r="X50" s="8">
        <f t="shared" si="6"/>
        <v>-426.66</v>
      </c>
      <c r="Y50" s="3"/>
      <c r="Z50" s="7">
        <f t="shared" si="7"/>
        <v>-1</v>
      </c>
    </row>
    <row r="51" spans="1:26" s="69" customFormat="1" ht="15" hidden="1" customHeight="1" outlineLevel="2" x14ac:dyDescent="0.3">
      <c r="A51" s="26"/>
      <c r="B51" s="12" t="str">
        <f>CONCATENATE("          ","6241"," - ","OFFICE EXPENSE")</f>
        <v xml:space="preserve">          6241 - OFFICE EXPENSE</v>
      </c>
      <c r="C51" s="12"/>
      <c r="D51" s="8">
        <v>126.09</v>
      </c>
      <c r="E51" s="3"/>
      <c r="F51" s="7">
        <f t="shared" si="0"/>
        <v>0</v>
      </c>
      <c r="G51" s="3"/>
      <c r="H51" s="8">
        <v>1241.08</v>
      </c>
      <c r="I51" s="3"/>
      <c r="J51" s="7">
        <f t="shared" si="1"/>
        <v>0</v>
      </c>
      <c r="K51" s="3"/>
      <c r="L51" s="8">
        <f t="shared" si="2"/>
        <v>-1114.99</v>
      </c>
      <c r="M51" s="3"/>
      <c r="N51" s="7">
        <f t="shared" si="3"/>
        <v>-0.89840300383536931</v>
      </c>
      <c r="O51" s="12"/>
      <c r="P51" s="8">
        <v>1782.55</v>
      </c>
      <c r="Q51" s="3"/>
      <c r="R51" s="7">
        <f t="shared" si="4"/>
        <v>0</v>
      </c>
      <c r="S51" s="3"/>
      <c r="T51" s="8">
        <v>1597.31</v>
      </c>
      <c r="U51" s="3"/>
      <c r="V51" s="7">
        <f t="shared" si="5"/>
        <v>0</v>
      </c>
      <c r="W51" s="3"/>
      <c r="X51" s="8">
        <f t="shared" si="6"/>
        <v>185.24</v>
      </c>
      <c r="Y51" s="3"/>
      <c r="Z51" s="7">
        <f t="shared" si="7"/>
        <v>0.11596997451966119</v>
      </c>
    </row>
    <row r="52" spans="1:26" s="68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SUM(OSRRefD22_10x_0)</f>
        <v>456.47</v>
      </c>
      <c r="E52" s="2"/>
      <c r="F52" s="6">
        <f t="shared" si="0"/>
        <v>0</v>
      </c>
      <c r="G52" s="2"/>
      <c r="H52" s="2">
        <f>SUM(OSRRefH22_10x_0)</f>
        <v>1582.22</v>
      </c>
      <c r="I52" s="2"/>
      <c r="J52" s="6">
        <f t="shared" si="1"/>
        <v>0</v>
      </c>
      <c r="K52" s="2"/>
      <c r="L52" s="2">
        <f t="shared" si="2"/>
        <v>-1125.75</v>
      </c>
      <c r="M52" s="2"/>
      <c r="N52" s="6">
        <f t="shared" si="3"/>
        <v>-0.71150029705097895</v>
      </c>
      <c r="O52" s="14"/>
      <c r="P52" s="2">
        <f>SUM(OSRRefP22_10x_0)</f>
        <v>3437.12</v>
      </c>
      <c r="Q52" s="2"/>
      <c r="R52" s="6">
        <f t="shared" si="4"/>
        <v>0</v>
      </c>
      <c r="S52" s="2"/>
      <c r="T52" s="2">
        <f>SUM(OSRRefT22_10x_0)</f>
        <v>4460.38</v>
      </c>
      <c r="U52" s="2"/>
      <c r="V52" s="6">
        <f t="shared" si="5"/>
        <v>0</v>
      </c>
      <c r="W52" s="2"/>
      <c r="X52" s="2">
        <f t="shared" si="6"/>
        <v>-1023.2600000000002</v>
      </c>
      <c r="Y52" s="2"/>
      <c r="Z52" s="6">
        <f t="shared" si="7"/>
        <v>-0.22941094704935458</v>
      </c>
    </row>
    <row r="53" spans="1:26" s="69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8">
        <v>456.47</v>
      </c>
      <c r="E53" s="3"/>
      <c r="F53" s="7">
        <f t="shared" si="0"/>
        <v>0</v>
      </c>
      <c r="G53" s="3"/>
      <c r="H53" s="8">
        <v>1582.22</v>
      </c>
      <c r="I53" s="3"/>
      <c r="J53" s="7">
        <f t="shared" si="1"/>
        <v>0</v>
      </c>
      <c r="K53" s="3"/>
      <c r="L53" s="8">
        <f t="shared" si="2"/>
        <v>-1125.75</v>
      </c>
      <c r="M53" s="3"/>
      <c r="N53" s="7">
        <f t="shared" si="3"/>
        <v>-0.71150029705097895</v>
      </c>
      <c r="O53" s="12"/>
      <c r="P53" s="8">
        <v>3437.12</v>
      </c>
      <c r="Q53" s="3"/>
      <c r="R53" s="7">
        <f t="shared" si="4"/>
        <v>0</v>
      </c>
      <c r="S53" s="3"/>
      <c r="T53" s="8">
        <v>4460.38</v>
      </c>
      <c r="U53" s="3"/>
      <c r="V53" s="7">
        <f t="shared" si="5"/>
        <v>0</v>
      </c>
      <c r="W53" s="3"/>
      <c r="X53" s="8">
        <f t="shared" si="6"/>
        <v>-1023.2600000000002</v>
      </c>
      <c r="Y53" s="3"/>
      <c r="Z53" s="7">
        <f t="shared" si="7"/>
        <v>-0.22941094704935458</v>
      </c>
    </row>
    <row r="54" spans="1:26" s="68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SUM(OSRRefD22_11x_0)</f>
        <v>0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SUM(OSRRefP22_11x_0)</f>
        <v>595</v>
      </c>
      <c r="Q54" s="2"/>
      <c r="R54" s="6">
        <f t="shared" si="4"/>
        <v>0</v>
      </c>
      <c r="S54" s="2"/>
      <c r="T54" s="2">
        <f>SUM(OSRRefT22_11x_0)</f>
        <v>548</v>
      </c>
      <c r="U54" s="2"/>
      <c r="V54" s="6">
        <f t="shared" si="5"/>
        <v>0</v>
      </c>
      <c r="W54" s="2"/>
      <c r="X54" s="2">
        <f t="shared" si="6"/>
        <v>47</v>
      </c>
      <c r="Y54" s="2"/>
      <c r="Z54" s="6">
        <f t="shared" si="7"/>
        <v>8.576642335766424E-2</v>
      </c>
    </row>
    <row r="55" spans="1:26" s="69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595</v>
      </c>
      <c r="Q55" s="3"/>
      <c r="R55" s="7">
        <f t="shared" si="4"/>
        <v>0</v>
      </c>
      <c r="S55" s="3"/>
      <c r="T55" s="8">
        <v>548</v>
      </c>
      <c r="U55" s="3"/>
      <c r="V55" s="7">
        <f t="shared" si="5"/>
        <v>0</v>
      </c>
      <c r="W55" s="3"/>
      <c r="X55" s="8">
        <f t="shared" si="6"/>
        <v>47</v>
      </c>
      <c r="Y55" s="3"/>
      <c r="Z55" s="7">
        <f t="shared" si="7"/>
        <v>8.576642335766424E-2</v>
      </c>
    </row>
    <row r="56" spans="1:26" s="68" customFormat="1" ht="15" customHeight="1" outlineLevel="1" collapsed="1" x14ac:dyDescent="0.3">
      <c r="A56" s="25"/>
      <c r="B56" s="14" t="str">
        <f>CONCATENATE("     ","Travel                                            ")</f>
        <v xml:space="preserve">     Travel                                            </v>
      </c>
      <c r="C56" s="14"/>
      <c r="D56" s="2">
        <f>SUM(OSRRefD22_12x_0)</f>
        <v>0</v>
      </c>
      <c r="E56" s="2"/>
      <c r="F56" s="6">
        <f t="shared" si="0"/>
        <v>0</v>
      </c>
      <c r="G56" s="2"/>
      <c r="H56" s="2">
        <f>SUM(OSRRefH22_12x_0)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SUM(OSRRefP22_12x_0)</f>
        <v>30.4</v>
      </c>
      <c r="Q56" s="2"/>
      <c r="R56" s="6">
        <f t="shared" si="4"/>
        <v>0</v>
      </c>
      <c r="S56" s="2"/>
      <c r="T56" s="2">
        <f>SUM(OSRRefT22_12x_0)</f>
        <v>67.819999999999993</v>
      </c>
      <c r="U56" s="2"/>
      <c r="V56" s="6">
        <f t="shared" si="5"/>
        <v>0</v>
      </c>
      <c r="W56" s="2"/>
      <c r="X56" s="2">
        <f t="shared" si="6"/>
        <v>-37.419999999999995</v>
      </c>
      <c r="Y56" s="2"/>
      <c r="Z56" s="6">
        <f t="shared" si="7"/>
        <v>-0.5517546446475966</v>
      </c>
    </row>
    <row r="57" spans="1:26" s="69" customFormat="1" ht="15" hidden="1" customHeight="1" outlineLevel="2" x14ac:dyDescent="0.3">
      <c r="A57" s="26"/>
      <c r="B57" s="12" t="str">
        <f>CONCATENATE("          ","6294"," - ","TRAVEL OPERATIONAL")</f>
        <v xml:space="preserve">          6294 - TRAVEL OPERATIONAL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>
        <v>30.4</v>
      </c>
      <c r="Q57" s="3"/>
      <c r="R57" s="7">
        <f t="shared" si="4"/>
        <v>0</v>
      </c>
      <c r="S57" s="3"/>
      <c r="T57" s="8">
        <v>67.819999999999993</v>
      </c>
      <c r="U57" s="3"/>
      <c r="V57" s="7">
        <f t="shared" si="5"/>
        <v>0</v>
      </c>
      <c r="W57" s="3"/>
      <c r="X57" s="8">
        <f t="shared" si="6"/>
        <v>-37.419999999999995</v>
      </c>
      <c r="Y57" s="3"/>
      <c r="Z57" s="7">
        <f t="shared" si="7"/>
        <v>-0.5517546446475966</v>
      </c>
    </row>
    <row r="58" spans="1:26" s="64" customFormat="1" ht="15" customHeight="1" x14ac:dyDescent="0.3">
      <c r="A58" s="36"/>
      <c r="B58" s="36"/>
      <c r="C58" s="36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O58" s="3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62" customFormat="1" ht="15" customHeight="1" x14ac:dyDescent="0.3">
      <c r="A59" s="11"/>
      <c r="B59" s="27" t="s">
        <v>290</v>
      </c>
      <c r="C59" s="11"/>
      <c r="D59" s="5">
        <f>SUM(0)</f>
        <v>0</v>
      </c>
      <c r="E59" s="5"/>
      <c r="F59" s="13">
        <f>IF(D$12=0,0,D59/D$12)</f>
        <v>0</v>
      </c>
      <c r="G59" s="5"/>
      <c r="H59" s="5">
        <f>SUM(0)</f>
        <v>0</v>
      </c>
      <c r="I59" s="5"/>
      <c r="J59" s="13">
        <f>IF(H$12=0,0,H59/H$12)</f>
        <v>0</v>
      </c>
      <c r="K59" s="5"/>
      <c r="L59" s="5">
        <f>+D59-H59</f>
        <v>0</v>
      </c>
      <c r="M59" s="5"/>
      <c r="N59" s="13">
        <f>IF(H59=0,0,L59/H59)</f>
        <v>0</v>
      </c>
      <c r="O59" s="11"/>
      <c r="P59" s="5">
        <f>SUM(0)</f>
        <v>0</v>
      </c>
      <c r="Q59" s="5"/>
      <c r="R59" s="13">
        <f>IF(P$12=0,0,P59/P$12)</f>
        <v>0</v>
      </c>
      <c r="S59" s="5"/>
      <c r="T59" s="5">
        <f>SUM(0)</f>
        <v>0</v>
      </c>
      <c r="U59" s="5"/>
      <c r="V59" s="13">
        <f>IF(T$12=0,0,T59/T$12)</f>
        <v>0</v>
      </c>
      <c r="W59" s="5"/>
      <c r="X59" s="5">
        <f>+P59-T59</f>
        <v>0</v>
      </c>
      <c r="Y59" s="5"/>
      <c r="Z59" s="13">
        <f>IF(T59=0,0,X59/T59)</f>
        <v>0</v>
      </c>
    </row>
    <row r="60" spans="1:26" ht="15" customHeight="1" x14ac:dyDescent="0.3">
      <c r="A60" s="10"/>
      <c r="B60" s="11"/>
      <c r="C60" s="11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O60" s="11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2" customFormat="1" ht="15" customHeight="1" x14ac:dyDescent="0.3">
      <c r="A61" s="11"/>
      <c r="B61" s="28" t="s">
        <v>291</v>
      </c>
      <c r="C61" s="28"/>
      <c r="D61" s="23">
        <f>+D16-D18+D59</f>
        <v>-38686.19</v>
      </c>
      <c r="E61" s="15"/>
      <c r="F61" s="22">
        <f>IF(D$12=0,0,D61/D$12)</f>
        <v>0</v>
      </c>
      <c r="G61" s="15"/>
      <c r="H61" s="23">
        <f>+H16-H18+H59</f>
        <v>-49534.039999999994</v>
      </c>
      <c r="I61" s="15"/>
      <c r="J61" s="22">
        <f>IF(H$12=0,0,H61/H$12)</f>
        <v>0</v>
      </c>
      <c r="K61" s="17"/>
      <c r="L61" s="23">
        <f>+D61-H61</f>
        <v>10847.849999999991</v>
      </c>
      <c r="M61" s="17"/>
      <c r="N61" s="22">
        <f>IF(H61=0,0,L61/H61)</f>
        <v>-0.21899788509073745</v>
      </c>
      <c r="O61" s="27"/>
      <c r="P61" s="23">
        <f>+P16-P18+P59</f>
        <v>-333022.03000000003</v>
      </c>
      <c r="Q61" s="15"/>
      <c r="R61" s="22">
        <f>IF(P$12=0,0,P61/P$12)</f>
        <v>0</v>
      </c>
      <c r="S61" s="15"/>
      <c r="T61" s="23">
        <f>+T16-T18+T59</f>
        <v>-321504.72999999992</v>
      </c>
      <c r="U61" s="15"/>
      <c r="V61" s="22">
        <f>IF(T$12=0,0,T61/T$12)</f>
        <v>0</v>
      </c>
      <c r="W61" s="17"/>
      <c r="X61" s="23">
        <f>+P61-T61</f>
        <v>-11517.300000000105</v>
      </c>
      <c r="Y61" s="17"/>
      <c r="Z61" s="22">
        <f>IF(T61=0,0,X61/T61)</f>
        <v>3.5823112151414094E-2</v>
      </c>
    </row>
    <row r="62" spans="1:26" ht="15" customHeight="1" x14ac:dyDescent="0.3">
      <c r="A62" s="10"/>
      <c r="B62" s="11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48"/>
      <c r="B63" s="11" t="s">
        <v>292</v>
      </c>
      <c r="C63" s="11"/>
      <c r="D63" s="5"/>
      <c r="E63" s="5"/>
      <c r="F63" s="13">
        <f>IF(D$12=0,0,D63/D$12)</f>
        <v>0</v>
      </c>
      <c r="G63" s="5"/>
      <c r="H63" s="5"/>
      <c r="I63" s="5"/>
      <c r="J63" s="13">
        <f>IF(H$12=0,0,H63/H$12)</f>
        <v>0</v>
      </c>
      <c r="K63" s="5"/>
      <c r="L63" s="5">
        <f>+D63-H63</f>
        <v>0</v>
      </c>
      <c r="M63" s="5"/>
      <c r="N63" s="13">
        <f>IF(H63=0,0,L63/H63)</f>
        <v>0</v>
      </c>
      <c r="O63" s="11"/>
      <c r="P63" s="5"/>
      <c r="Q63" s="5"/>
      <c r="R63" s="13">
        <f>IF(P$12=0,0,P63/P$12)</f>
        <v>0</v>
      </c>
      <c r="S63" s="5"/>
      <c r="T63" s="5"/>
      <c r="U63" s="5"/>
      <c r="V63" s="13">
        <f>IF(T$12=0,0,T63/T$12)</f>
        <v>0</v>
      </c>
      <c r="W63" s="5"/>
      <c r="X63" s="5">
        <f>+P63-T63</f>
        <v>0</v>
      </c>
      <c r="Y63" s="5"/>
      <c r="Z63" s="13">
        <f>IF(T63=0,0,X63/T63)</f>
        <v>0</v>
      </c>
    </row>
    <row r="64" spans="1:26" ht="15" customHeight="1" x14ac:dyDescent="0.3">
      <c r="A64" s="10"/>
      <c r="B64" s="11"/>
      <c r="C64" s="11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O64" s="11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s="62" customFormat="1" ht="15" customHeight="1" x14ac:dyDescent="0.3">
      <c r="A65" s="11"/>
      <c r="B65" s="28" t="s">
        <v>293</v>
      </c>
      <c r="C65" s="28"/>
      <c r="D65" s="33">
        <f>+D61-D63</f>
        <v>-38686.19</v>
      </c>
      <c r="E65" s="15"/>
      <c r="F65" s="34">
        <f>IF(D$12=0,0,D65/D$12)</f>
        <v>0</v>
      </c>
      <c r="G65" s="15"/>
      <c r="H65" s="33">
        <f>+H61-H63</f>
        <v>-49534.039999999994</v>
      </c>
      <c r="I65" s="15"/>
      <c r="J65" s="34">
        <f>IF(H$12=0,0,H65/H$12)</f>
        <v>0</v>
      </c>
      <c r="K65" s="17"/>
      <c r="L65" s="33">
        <f>D65-H65</f>
        <v>10847.849999999991</v>
      </c>
      <c r="M65" s="17"/>
      <c r="N65" s="34">
        <f>IF(H65=0,0,L65/H65)</f>
        <v>-0.21899788509073745</v>
      </c>
      <c r="O65" s="27"/>
      <c r="P65" s="33">
        <f>+P61-P63</f>
        <v>-333022.03000000003</v>
      </c>
      <c r="Q65" s="15"/>
      <c r="R65" s="34">
        <f>IF(P$12=0,0,P65/P$12)</f>
        <v>0</v>
      </c>
      <c r="S65" s="15"/>
      <c r="T65" s="33">
        <f>+T61-T63</f>
        <v>-321504.72999999992</v>
      </c>
      <c r="U65" s="15"/>
      <c r="V65" s="34">
        <f>IF(T$12=0,0,T65/T$12)</f>
        <v>0</v>
      </c>
      <c r="W65" s="17"/>
      <c r="X65" s="33">
        <f>P65-T65</f>
        <v>-11517.300000000105</v>
      </c>
      <c r="Y65" s="17"/>
      <c r="Z65" s="34">
        <f>IF(T65=0,0,X65/T65)</f>
        <v>3.5823112151414094E-2</v>
      </c>
    </row>
    <row r="66" spans="1:26" ht="15" customHeight="1" x14ac:dyDescent="0.3">
      <c r="A66" s="10"/>
      <c r="B66" s="10"/>
      <c r="C66" s="10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ht="15" customHeight="1" x14ac:dyDescent="0.3">
      <c r="A67" s="10"/>
      <c r="B67" s="10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296</v>
      </c>
      <c r="C68" s="28"/>
      <c r="D68" s="35">
        <f>SUM(D65:D67)</f>
        <v>-38686.19</v>
      </c>
      <c r="E68" s="15"/>
      <c r="F68" s="29">
        <f>IF(D$12=0,0,D68/D$12)</f>
        <v>0</v>
      </c>
      <c r="G68" s="15"/>
      <c r="H68" s="35">
        <f>SUM(H65:H67)</f>
        <v>-49534.039999999994</v>
      </c>
      <c r="I68" s="15"/>
      <c r="J68" s="29">
        <f>IF(H$12=0,0,H68/H$12)</f>
        <v>0</v>
      </c>
      <c r="K68" s="17"/>
      <c r="L68" s="35">
        <f>+D68-H68</f>
        <v>10847.849999999991</v>
      </c>
      <c r="M68" s="17"/>
      <c r="N68" s="29">
        <f>IF(H68=0,0,L68/H68)</f>
        <v>-0.21899788509073745</v>
      </c>
      <c r="O68" s="27"/>
      <c r="P68" s="35">
        <f>SUM(P65:P67)</f>
        <v>-333022.03000000003</v>
      </c>
      <c r="Q68" s="15"/>
      <c r="R68" s="29">
        <f>IF(P$12=0,0,P68/P$12)</f>
        <v>0</v>
      </c>
      <c r="S68" s="15"/>
      <c r="T68" s="35">
        <f>SUM(T65:T67)</f>
        <v>-321504.72999999992</v>
      </c>
      <c r="U68" s="15"/>
      <c r="V68" s="29">
        <f>IF(T$12=0,0,T68/T$12)</f>
        <v>0</v>
      </c>
      <c r="W68" s="17"/>
      <c r="X68" s="35">
        <f>+P68-T68</f>
        <v>-11517.300000000105</v>
      </c>
      <c r="Y68" s="17"/>
      <c r="Z68" s="29">
        <f>IF(T68=0,0,X68/T68)</f>
        <v>3.5823112151414094E-2</v>
      </c>
    </row>
    <row r="69" spans="1:26" ht="15" customHeight="1" x14ac:dyDescent="0.3">
      <c r="A69" s="10"/>
      <c r="C69" s="10"/>
      <c r="D69" s="18"/>
      <c r="E69" s="18"/>
      <c r="G69" s="18"/>
      <c r="H69" s="18"/>
      <c r="I69" s="18"/>
      <c r="J69" s="41"/>
      <c r="K69" s="18"/>
      <c r="L69" s="18"/>
      <c r="M69" s="18"/>
      <c r="P69" s="18"/>
      <c r="Q69" s="18"/>
      <c r="R69" s="41"/>
      <c r="S69" s="18"/>
      <c r="T69" s="18"/>
      <c r="U69" s="18"/>
      <c r="V69" s="41"/>
      <c r="W69" s="18"/>
      <c r="X69" s="18"/>
    </row>
    <row r="70" spans="1:26" ht="15" customHeight="1" x14ac:dyDescent="0.3">
      <c r="A70" s="10"/>
      <c r="B70" s="50">
        <v>44634.887810300927</v>
      </c>
      <c r="D70" s="18"/>
      <c r="E70" s="18"/>
      <c r="G70" s="18"/>
      <c r="H70" s="18"/>
      <c r="I70" s="18"/>
      <c r="J70" s="41"/>
      <c r="K70" s="18"/>
      <c r="L70" s="18"/>
      <c r="M70" s="18"/>
      <c r="P70" s="18"/>
      <c r="Q70" s="18"/>
      <c r="R70" s="41"/>
      <c r="S70" s="18"/>
      <c r="T70" s="18"/>
      <c r="U70" s="18"/>
      <c r="V70" s="41"/>
      <c r="W70" s="18"/>
      <c r="X70" s="18"/>
    </row>
    <row r="71" spans="1:26" ht="15" customHeight="1" x14ac:dyDescent="0.3">
      <c r="A71" s="10"/>
      <c r="B71" s="58" t="s">
        <v>297</v>
      </c>
      <c r="D71" s="18"/>
      <c r="E71" s="18"/>
      <c r="G71" s="18"/>
      <c r="H71" s="18"/>
      <c r="I71" s="18"/>
      <c r="J71" s="41"/>
      <c r="K71" s="18"/>
      <c r="L71" s="18"/>
      <c r="M71" s="18"/>
      <c r="P71" s="18"/>
      <c r="Q71" s="18"/>
      <c r="R71" s="41"/>
      <c r="S71" s="18"/>
      <c r="T71" s="18"/>
      <c r="U71" s="18"/>
      <c r="V71" s="41"/>
      <c r="W71" s="18"/>
      <c r="X71" s="18"/>
    </row>
    <row r="72" spans="1:26" ht="15" customHeight="1" x14ac:dyDescent="0.3">
      <c r="A72" s="10"/>
      <c r="B72" s="56"/>
      <c r="D72" s="18"/>
      <c r="E72" s="18"/>
      <c r="G72" s="18"/>
      <c r="H72" s="18"/>
      <c r="I72" s="18"/>
      <c r="J72" s="41"/>
      <c r="K72" s="18"/>
      <c r="L72" s="18"/>
      <c r="M72" s="18"/>
      <c r="P72" s="18"/>
      <c r="Q72" s="18"/>
      <c r="R72" s="41"/>
      <c r="S72" s="18"/>
      <c r="T72" s="18"/>
      <c r="U72" s="18"/>
      <c r="V72" s="41"/>
      <c r="W72" s="18"/>
      <c r="X72" s="18"/>
    </row>
    <row r="73" spans="1:26" ht="15" customHeight="1" x14ac:dyDescent="0.3">
      <c r="D73" s="18"/>
      <c r="E73" s="18"/>
      <c r="G73" s="18"/>
      <c r="H73" s="18"/>
      <c r="I73" s="18"/>
      <c r="J73" s="41"/>
      <c r="K73" s="18"/>
      <c r="L73" s="18"/>
      <c r="M73" s="18"/>
      <c r="P73" s="18"/>
      <c r="Q73" s="18"/>
      <c r="R73" s="41"/>
      <c r="S73" s="18"/>
      <c r="T73" s="18"/>
      <c r="U73" s="18"/>
      <c r="V73" s="41"/>
      <c r="W73" s="18"/>
      <c r="X73" s="18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572B-82FF-F7C7-6351-30760E938F5C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","203"," - ","Human Resources")</f>
        <v>Department 203 - Human Resources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63102.47</v>
      </c>
      <c r="E18" s="21"/>
      <c r="F18" s="30">
        <f t="shared" ref="F18:F65" si="0">IF(D$12=0,0,D18/D$12)</f>
        <v>0</v>
      </c>
      <c r="G18" s="21"/>
      <c r="H18" s="21" cm="1">
        <f t="array" ref="H18">SUM(OSRRefH22x_0)</f>
        <v>44218.12</v>
      </c>
      <c r="I18" s="21"/>
      <c r="J18" s="30">
        <f t="shared" ref="J18:J65" si="1">IF(H$12=0,0,H18/H$12)</f>
        <v>0</v>
      </c>
      <c r="K18" s="5"/>
      <c r="L18" s="21">
        <f t="shared" ref="L18:L65" si="2">+D18-H18</f>
        <v>18884.349999999999</v>
      </c>
      <c r="M18" s="5"/>
      <c r="N18" s="30">
        <f t="shared" ref="N18:N65" si="3">IF(H18=0,0,L18/H18)</f>
        <v>0.42707265709170805</v>
      </c>
      <c r="O18" s="11"/>
      <c r="P18" s="21" cm="1">
        <f t="array" ref="P18">SUM(OSRRefP22x_0)</f>
        <v>448414.18999999994</v>
      </c>
      <c r="Q18" s="21"/>
      <c r="R18" s="30">
        <f t="shared" ref="R18:R65" si="4">IF(P$12=0,0,P18/P$12)</f>
        <v>0</v>
      </c>
      <c r="S18" s="21"/>
      <c r="T18" s="21" cm="1">
        <f t="array" ref="T18">SUM(OSRRefT22x_0)</f>
        <v>367065.24000000005</v>
      </c>
      <c r="U18" s="21"/>
      <c r="V18" s="30">
        <f t="shared" ref="V18:V65" si="5">IF(T$12=0,0,T18/T$12)</f>
        <v>0</v>
      </c>
      <c r="W18" s="5"/>
      <c r="X18" s="21">
        <f t="shared" ref="X18:X65" si="6">+P18-T18</f>
        <v>81348.949999999895</v>
      </c>
      <c r="Y18" s="5"/>
      <c r="Z18" s="30">
        <f t="shared" ref="Z18:Z65" si="7">IF(T18=0,0,X18/T18)</f>
        <v>0.22161986790141144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12629.050000000001</v>
      </c>
      <c r="E19" s="2"/>
      <c r="F19" s="6">
        <f t="shared" si="0"/>
        <v>0</v>
      </c>
      <c r="G19" s="2"/>
      <c r="H19" s="2">
        <f>SUM(OSRRefH22_0x_0)</f>
        <v>11037.230000000001</v>
      </c>
      <c r="I19" s="2"/>
      <c r="J19" s="6">
        <f t="shared" si="1"/>
        <v>0</v>
      </c>
      <c r="K19" s="2"/>
      <c r="L19" s="2">
        <f t="shared" si="2"/>
        <v>1591.8199999999997</v>
      </c>
      <c r="M19" s="2"/>
      <c r="N19" s="6">
        <f t="shared" si="3"/>
        <v>0.14422278053460874</v>
      </c>
      <c r="O19" s="14"/>
      <c r="P19" s="2">
        <f>SUM(OSRRefP22_0x_0)</f>
        <v>121621.58</v>
      </c>
      <c r="Q19" s="2"/>
      <c r="R19" s="6">
        <f t="shared" si="4"/>
        <v>0</v>
      </c>
      <c r="S19" s="2"/>
      <c r="T19" s="2">
        <f>SUM(OSRRefT22_0x_0)</f>
        <v>98570.400000000009</v>
      </c>
      <c r="U19" s="2"/>
      <c r="V19" s="6">
        <f t="shared" si="5"/>
        <v>0</v>
      </c>
      <c r="W19" s="2"/>
      <c r="X19" s="2">
        <f t="shared" si="6"/>
        <v>23051.179999999993</v>
      </c>
      <c r="Y19" s="2"/>
      <c r="Z19" s="6">
        <f t="shared" si="7"/>
        <v>0.23385499095063011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2298.42</v>
      </c>
      <c r="E20" s="3"/>
      <c r="F20" s="7">
        <f t="shared" si="0"/>
        <v>0</v>
      </c>
      <c r="G20" s="3"/>
      <c r="H20" s="8">
        <v>1855.51</v>
      </c>
      <c r="I20" s="3"/>
      <c r="J20" s="7">
        <f t="shared" si="1"/>
        <v>0</v>
      </c>
      <c r="K20" s="3"/>
      <c r="L20" s="8">
        <f t="shared" si="2"/>
        <v>442.91000000000008</v>
      </c>
      <c r="M20" s="3"/>
      <c r="N20" s="7">
        <f t="shared" si="3"/>
        <v>0.23869987227231332</v>
      </c>
      <c r="O20" s="12"/>
      <c r="P20" s="8">
        <v>18666.150000000001</v>
      </c>
      <c r="Q20" s="3"/>
      <c r="R20" s="7">
        <f t="shared" si="4"/>
        <v>0</v>
      </c>
      <c r="S20" s="3"/>
      <c r="T20" s="8">
        <v>17078.14</v>
      </c>
      <c r="U20" s="3"/>
      <c r="V20" s="7">
        <f t="shared" si="5"/>
        <v>0</v>
      </c>
      <c r="W20" s="3"/>
      <c r="X20" s="8">
        <f t="shared" si="6"/>
        <v>1588.010000000002</v>
      </c>
      <c r="Y20" s="3"/>
      <c r="Z20" s="7">
        <f t="shared" si="7"/>
        <v>9.2984950351736317E-2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384.16</v>
      </c>
      <c r="E21" s="3"/>
      <c r="F21" s="7">
        <f t="shared" si="0"/>
        <v>0</v>
      </c>
      <c r="G21" s="3"/>
      <c r="H21" s="8">
        <v>79.650000000000006</v>
      </c>
      <c r="I21" s="3"/>
      <c r="J21" s="7">
        <f t="shared" si="1"/>
        <v>0</v>
      </c>
      <c r="K21" s="3"/>
      <c r="L21" s="8">
        <f t="shared" si="2"/>
        <v>304.51</v>
      </c>
      <c r="M21" s="3"/>
      <c r="N21" s="7">
        <f t="shared" si="3"/>
        <v>3.8231010671688632</v>
      </c>
      <c r="O21" s="12"/>
      <c r="P21" s="8">
        <v>3124.56</v>
      </c>
      <c r="Q21" s="3"/>
      <c r="R21" s="7">
        <f t="shared" si="4"/>
        <v>0</v>
      </c>
      <c r="S21" s="3"/>
      <c r="T21" s="8">
        <v>743.87</v>
      </c>
      <c r="U21" s="3"/>
      <c r="V21" s="7">
        <f t="shared" si="5"/>
        <v>0</v>
      </c>
      <c r="W21" s="3"/>
      <c r="X21" s="8">
        <f t="shared" si="6"/>
        <v>2380.69</v>
      </c>
      <c r="Y21" s="3"/>
      <c r="Z21" s="7">
        <f t="shared" si="7"/>
        <v>3.2004113622003847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5574.36</v>
      </c>
      <c r="E22" s="3"/>
      <c r="F22" s="7">
        <f t="shared" si="0"/>
        <v>0</v>
      </c>
      <c r="G22" s="3"/>
      <c r="H22" s="8">
        <v>6028.29</v>
      </c>
      <c r="I22" s="3"/>
      <c r="J22" s="7">
        <f t="shared" si="1"/>
        <v>0</v>
      </c>
      <c r="K22" s="3"/>
      <c r="L22" s="8">
        <f t="shared" si="2"/>
        <v>-453.93000000000029</v>
      </c>
      <c r="M22" s="3"/>
      <c r="N22" s="7">
        <f t="shared" si="3"/>
        <v>-7.5299960685368539E-2</v>
      </c>
      <c r="O22" s="12"/>
      <c r="P22" s="8">
        <v>47476.11</v>
      </c>
      <c r="Q22" s="3"/>
      <c r="R22" s="7">
        <f t="shared" si="4"/>
        <v>0</v>
      </c>
      <c r="S22" s="3"/>
      <c r="T22" s="8">
        <v>48606.6</v>
      </c>
      <c r="U22" s="3"/>
      <c r="V22" s="7">
        <f t="shared" si="5"/>
        <v>0</v>
      </c>
      <c r="W22" s="3"/>
      <c r="X22" s="8">
        <f t="shared" si="6"/>
        <v>-1130.489999999998</v>
      </c>
      <c r="Y22" s="3"/>
      <c r="Z22" s="7">
        <f t="shared" si="7"/>
        <v>-2.3257952623717725E-2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77.430000000000007</v>
      </c>
      <c r="E23" s="3"/>
      <c r="F23" s="7">
        <f t="shared" si="0"/>
        <v>0</v>
      </c>
      <c r="G23" s="3"/>
      <c r="H23" s="8">
        <v>62.76</v>
      </c>
      <c r="I23" s="3"/>
      <c r="J23" s="7">
        <f t="shared" si="1"/>
        <v>0</v>
      </c>
      <c r="K23" s="3"/>
      <c r="L23" s="8">
        <f t="shared" si="2"/>
        <v>14.670000000000009</v>
      </c>
      <c r="M23" s="3"/>
      <c r="N23" s="7">
        <f t="shared" si="3"/>
        <v>0.23374760994263877</v>
      </c>
      <c r="O23" s="12"/>
      <c r="P23" s="8">
        <v>629.76</v>
      </c>
      <c r="Q23" s="3"/>
      <c r="R23" s="7">
        <f t="shared" si="4"/>
        <v>0</v>
      </c>
      <c r="S23" s="3"/>
      <c r="T23" s="8">
        <v>586.08000000000004</v>
      </c>
      <c r="U23" s="3"/>
      <c r="V23" s="7">
        <f t="shared" si="5"/>
        <v>0</v>
      </c>
      <c r="W23" s="3"/>
      <c r="X23" s="8">
        <f t="shared" si="6"/>
        <v>43.67999999999995</v>
      </c>
      <c r="Y23" s="3"/>
      <c r="Z23" s="7">
        <f t="shared" si="7"/>
        <v>7.4529074529074438E-2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1287.54</v>
      </c>
      <c r="E24" s="3"/>
      <c r="F24" s="7">
        <f t="shared" si="0"/>
        <v>0</v>
      </c>
      <c r="G24" s="3"/>
      <c r="H24" s="8">
        <v>1091.48</v>
      </c>
      <c r="I24" s="3"/>
      <c r="J24" s="7">
        <f t="shared" si="1"/>
        <v>0</v>
      </c>
      <c r="K24" s="3"/>
      <c r="L24" s="8">
        <f t="shared" si="2"/>
        <v>196.05999999999995</v>
      </c>
      <c r="M24" s="3"/>
      <c r="N24" s="7">
        <f t="shared" si="3"/>
        <v>0.1796276615238025</v>
      </c>
      <c r="O24" s="12"/>
      <c r="P24" s="8">
        <v>10721.25</v>
      </c>
      <c r="Q24" s="3"/>
      <c r="R24" s="7">
        <f t="shared" si="4"/>
        <v>0</v>
      </c>
      <c r="S24" s="3"/>
      <c r="T24" s="8">
        <v>11100.36</v>
      </c>
      <c r="U24" s="3"/>
      <c r="V24" s="7">
        <f t="shared" si="5"/>
        <v>0</v>
      </c>
      <c r="W24" s="3"/>
      <c r="X24" s="8">
        <f t="shared" si="6"/>
        <v>-379.11000000000058</v>
      </c>
      <c r="Y24" s="3"/>
      <c r="Z24" s="7">
        <f t="shared" si="7"/>
        <v>-3.4152946390927912E-2</v>
      </c>
    </row>
    <row r="25" spans="1:26" s="69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2636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2636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680.31</v>
      </c>
      <c r="E26" s="3"/>
      <c r="F26" s="7">
        <f t="shared" si="0"/>
        <v>0</v>
      </c>
      <c r="G26" s="3"/>
      <c r="H26" s="8">
        <v>532.74</v>
      </c>
      <c r="I26" s="3"/>
      <c r="J26" s="7">
        <f t="shared" si="1"/>
        <v>0</v>
      </c>
      <c r="K26" s="3"/>
      <c r="L26" s="8">
        <f t="shared" si="2"/>
        <v>147.56999999999994</v>
      </c>
      <c r="M26" s="3"/>
      <c r="N26" s="7">
        <f t="shared" si="3"/>
        <v>0.27700191463002577</v>
      </c>
      <c r="O26" s="12"/>
      <c r="P26" s="8">
        <v>8642.59</v>
      </c>
      <c r="Q26" s="3"/>
      <c r="R26" s="7">
        <f t="shared" si="4"/>
        <v>0</v>
      </c>
      <c r="S26" s="3"/>
      <c r="T26" s="8">
        <v>4864.58</v>
      </c>
      <c r="U26" s="3"/>
      <c r="V26" s="7">
        <f t="shared" si="5"/>
        <v>0</v>
      </c>
      <c r="W26" s="3"/>
      <c r="X26" s="8">
        <f t="shared" si="6"/>
        <v>3778.01</v>
      </c>
      <c r="Y26" s="3"/>
      <c r="Z26" s="7">
        <f t="shared" si="7"/>
        <v>0.77663642082153039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781.36</v>
      </c>
      <c r="E27" s="3"/>
      <c r="F27" s="7">
        <f t="shared" si="0"/>
        <v>0</v>
      </c>
      <c r="G27" s="3"/>
      <c r="H27" s="8">
        <v>478.68</v>
      </c>
      <c r="I27" s="3"/>
      <c r="J27" s="7">
        <f t="shared" si="1"/>
        <v>0</v>
      </c>
      <c r="K27" s="3"/>
      <c r="L27" s="8">
        <f t="shared" si="2"/>
        <v>302.68</v>
      </c>
      <c r="M27" s="3"/>
      <c r="N27" s="7">
        <f t="shared" si="3"/>
        <v>0.63232221943678446</v>
      </c>
      <c r="O27" s="12"/>
      <c r="P27" s="8">
        <v>15633.86</v>
      </c>
      <c r="Q27" s="3"/>
      <c r="R27" s="7">
        <f t="shared" si="4"/>
        <v>0</v>
      </c>
      <c r="S27" s="3"/>
      <c r="T27" s="8">
        <v>7531.92</v>
      </c>
      <c r="U27" s="3"/>
      <c r="V27" s="7">
        <f t="shared" si="5"/>
        <v>0</v>
      </c>
      <c r="W27" s="3"/>
      <c r="X27" s="8">
        <f t="shared" si="6"/>
        <v>8101.9400000000005</v>
      </c>
      <c r="Y27" s="3"/>
      <c r="Z27" s="7">
        <f t="shared" si="7"/>
        <v>1.0756805701600656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1239.8599999999999</v>
      </c>
      <c r="E28" s="3"/>
      <c r="F28" s="7">
        <f t="shared" si="0"/>
        <v>0</v>
      </c>
      <c r="G28" s="3"/>
      <c r="H28" s="8">
        <v>908.12</v>
      </c>
      <c r="I28" s="3"/>
      <c r="J28" s="7">
        <f t="shared" si="1"/>
        <v>0</v>
      </c>
      <c r="K28" s="3"/>
      <c r="L28" s="8">
        <f t="shared" si="2"/>
        <v>331.7399999999999</v>
      </c>
      <c r="M28" s="3"/>
      <c r="N28" s="7">
        <f t="shared" si="3"/>
        <v>0.36530414482667478</v>
      </c>
      <c r="O28" s="12"/>
      <c r="P28" s="8">
        <v>12343.14</v>
      </c>
      <c r="Q28" s="3"/>
      <c r="R28" s="7">
        <f t="shared" si="4"/>
        <v>0</v>
      </c>
      <c r="S28" s="3"/>
      <c r="T28" s="8">
        <v>7719.02</v>
      </c>
      <c r="U28" s="3"/>
      <c r="V28" s="7">
        <f t="shared" si="5"/>
        <v>0</v>
      </c>
      <c r="W28" s="3"/>
      <c r="X28" s="8">
        <f t="shared" si="6"/>
        <v>4624.119999999999</v>
      </c>
      <c r="Y28" s="3"/>
      <c r="Z28" s="7">
        <f t="shared" si="7"/>
        <v>0.59905532049405219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305.61</v>
      </c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305.61</v>
      </c>
      <c r="M29" s="3"/>
      <c r="N29" s="7">
        <f t="shared" si="3"/>
        <v>0</v>
      </c>
      <c r="O29" s="12"/>
      <c r="P29" s="8">
        <v>1748.16</v>
      </c>
      <c r="Q29" s="3"/>
      <c r="R29" s="7">
        <f t="shared" si="4"/>
        <v>0</v>
      </c>
      <c r="S29" s="3"/>
      <c r="T29" s="8">
        <v>339.83</v>
      </c>
      <c r="U29" s="3"/>
      <c r="V29" s="7">
        <f t="shared" si="5"/>
        <v>0</v>
      </c>
      <c r="W29" s="3"/>
      <c r="X29" s="8">
        <f t="shared" si="6"/>
        <v>1408.3300000000002</v>
      </c>
      <c r="Y29" s="3"/>
      <c r="Z29" s="7">
        <f t="shared" si="7"/>
        <v>4.1442191684077336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29160.65</v>
      </c>
      <c r="E30" s="2"/>
      <c r="F30" s="6">
        <f t="shared" si="0"/>
        <v>0</v>
      </c>
      <c r="G30" s="2"/>
      <c r="H30" s="2">
        <f>SUM(OSRRefH22_1x_0)</f>
        <v>22005.079999999998</v>
      </c>
      <c r="I30" s="2"/>
      <c r="J30" s="6">
        <f t="shared" si="1"/>
        <v>0</v>
      </c>
      <c r="K30" s="2"/>
      <c r="L30" s="2">
        <f t="shared" si="2"/>
        <v>7155.5700000000033</v>
      </c>
      <c r="M30" s="2"/>
      <c r="N30" s="6">
        <f t="shared" si="3"/>
        <v>0.3251780952398266</v>
      </c>
      <c r="O30" s="14"/>
      <c r="P30" s="2">
        <f>SUM(OSRRefP22_1x_0)</f>
        <v>236025.78999999998</v>
      </c>
      <c r="Q30" s="2"/>
      <c r="R30" s="6">
        <f t="shared" si="4"/>
        <v>0</v>
      </c>
      <c r="S30" s="2"/>
      <c r="T30" s="2">
        <f>SUM(OSRRefT22_1x_0)</f>
        <v>212556.08000000002</v>
      </c>
      <c r="U30" s="2"/>
      <c r="V30" s="6">
        <f t="shared" si="5"/>
        <v>0</v>
      </c>
      <c r="W30" s="2"/>
      <c r="X30" s="2">
        <f t="shared" si="6"/>
        <v>23469.709999999963</v>
      </c>
      <c r="Y30" s="2"/>
      <c r="Z30" s="6">
        <f t="shared" si="7"/>
        <v>0.11041655453939478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11834.04</v>
      </c>
      <c r="E31" s="3"/>
      <c r="F31" s="7">
        <f t="shared" si="0"/>
        <v>0</v>
      </c>
      <c r="G31" s="3"/>
      <c r="H31" s="8">
        <v>8980.2099999999991</v>
      </c>
      <c r="I31" s="3"/>
      <c r="J31" s="7">
        <f t="shared" si="1"/>
        <v>0</v>
      </c>
      <c r="K31" s="3"/>
      <c r="L31" s="8">
        <f t="shared" si="2"/>
        <v>2853.8300000000017</v>
      </c>
      <c r="M31" s="3"/>
      <c r="N31" s="7">
        <f t="shared" si="3"/>
        <v>0.31779100934165261</v>
      </c>
      <c r="O31" s="12"/>
      <c r="P31" s="8">
        <v>93352.84</v>
      </c>
      <c r="Q31" s="3"/>
      <c r="R31" s="7">
        <f t="shared" si="4"/>
        <v>0</v>
      </c>
      <c r="S31" s="3"/>
      <c r="T31" s="8">
        <v>82276.19</v>
      </c>
      <c r="U31" s="3"/>
      <c r="V31" s="7">
        <f t="shared" si="5"/>
        <v>0</v>
      </c>
      <c r="W31" s="3"/>
      <c r="X31" s="8">
        <f t="shared" si="6"/>
        <v>11076.649999999994</v>
      </c>
      <c r="Y31" s="3"/>
      <c r="Z31" s="7">
        <f t="shared" si="7"/>
        <v>0.13462764865509685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18.5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18.5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19234.330000000002</v>
      </c>
      <c r="E33" s="3"/>
      <c r="F33" s="7">
        <f t="shared" si="0"/>
        <v>0</v>
      </c>
      <c r="G33" s="3"/>
      <c r="H33" s="8">
        <v>10055.74</v>
      </c>
      <c r="I33" s="3"/>
      <c r="J33" s="7">
        <f t="shared" si="1"/>
        <v>0</v>
      </c>
      <c r="K33" s="3"/>
      <c r="L33" s="8">
        <f t="shared" si="2"/>
        <v>9178.590000000002</v>
      </c>
      <c r="M33" s="3"/>
      <c r="N33" s="7">
        <f t="shared" si="3"/>
        <v>0.91277121325730404</v>
      </c>
      <c r="O33" s="12"/>
      <c r="P33" s="8">
        <v>126039.76</v>
      </c>
      <c r="Q33" s="3"/>
      <c r="R33" s="7">
        <f t="shared" si="4"/>
        <v>0</v>
      </c>
      <c r="S33" s="3"/>
      <c r="T33" s="8">
        <v>83776.960000000006</v>
      </c>
      <c r="U33" s="3"/>
      <c r="V33" s="7">
        <f t="shared" si="5"/>
        <v>0</v>
      </c>
      <c r="W33" s="3"/>
      <c r="X33" s="8">
        <f t="shared" si="6"/>
        <v>42262.799999999988</v>
      </c>
      <c r="Y33" s="3"/>
      <c r="Z33" s="7">
        <f t="shared" si="7"/>
        <v>0.50446805422397745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2387.2800000000002</v>
      </c>
      <c r="E34" s="3"/>
      <c r="F34" s="7">
        <f t="shared" si="0"/>
        <v>0</v>
      </c>
      <c r="G34" s="3"/>
      <c r="H34" s="8">
        <v>4163.13</v>
      </c>
      <c r="I34" s="3"/>
      <c r="J34" s="7">
        <f t="shared" si="1"/>
        <v>0</v>
      </c>
      <c r="K34" s="3"/>
      <c r="L34" s="8">
        <f t="shared" si="2"/>
        <v>-1775.85</v>
      </c>
      <c r="M34" s="3"/>
      <c r="N34" s="7">
        <f t="shared" si="3"/>
        <v>-0.4265660692796045</v>
      </c>
      <c r="O34" s="12"/>
      <c r="P34" s="8">
        <v>16614.689999999999</v>
      </c>
      <c r="Q34" s="3"/>
      <c r="R34" s="7">
        <f t="shared" si="4"/>
        <v>0</v>
      </c>
      <c r="S34" s="3"/>
      <c r="T34" s="8">
        <v>43970.93</v>
      </c>
      <c r="U34" s="3"/>
      <c r="V34" s="7">
        <f t="shared" si="5"/>
        <v>0</v>
      </c>
      <c r="W34" s="3"/>
      <c r="X34" s="8">
        <f t="shared" si="6"/>
        <v>-27356.240000000002</v>
      </c>
      <c r="Y34" s="3"/>
      <c r="Z34" s="7">
        <f t="shared" si="7"/>
        <v>-0.62214376634744817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-4295</v>
      </c>
      <c r="E35" s="3"/>
      <c r="F35" s="7">
        <f t="shared" si="0"/>
        <v>0</v>
      </c>
      <c r="G35" s="3"/>
      <c r="H35" s="8">
        <v>-1194</v>
      </c>
      <c r="I35" s="3"/>
      <c r="J35" s="7">
        <f t="shared" si="1"/>
        <v>0</v>
      </c>
      <c r="K35" s="3"/>
      <c r="L35" s="8">
        <f t="shared" si="2"/>
        <v>-3101</v>
      </c>
      <c r="M35" s="3"/>
      <c r="N35" s="7">
        <f t="shared" si="3"/>
        <v>2.5971524288107202</v>
      </c>
      <c r="O35" s="12"/>
      <c r="P35" s="8">
        <v>0</v>
      </c>
      <c r="Q35" s="3"/>
      <c r="R35" s="7">
        <f t="shared" si="4"/>
        <v>0</v>
      </c>
      <c r="S35" s="3"/>
      <c r="T35" s="8">
        <v>2532</v>
      </c>
      <c r="U35" s="3"/>
      <c r="V35" s="7">
        <f t="shared" si="5"/>
        <v>0</v>
      </c>
      <c r="W35" s="3"/>
      <c r="X35" s="8">
        <f t="shared" si="6"/>
        <v>-2532</v>
      </c>
      <c r="Y35" s="3"/>
      <c r="Z35" s="7">
        <f t="shared" si="7"/>
        <v>-1</v>
      </c>
    </row>
    <row r="36" spans="1:26" s="68" customFormat="1" ht="15" customHeight="1" outlineLevel="1" collapsed="1" x14ac:dyDescent="0.3">
      <c r="A36" s="25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343.26</v>
      </c>
      <c r="Q36" s="2"/>
      <c r="R36" s="6">
        <f t="shared" si="4"/>
        <v>0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343.26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","6362"," - ","ADVERTISING EXPENSE")</f>
        <v xml:space="preserve">          6362 - ADVERTISING EXPENSE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343.26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343.26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","Employees' Appreciation                           ")</f>
        <v xml:space="preserve">     Employees' Appreciation                           </v>
      </c>
      <c r="C38" s="14"/>
      <c r="D38" s="2">
        <f>SUM(OSRRefD22_3x_0)</f>
        <v>0</v>
      </c>
      <c r="E38" s="2"/>
      <c r="F38" s="6">
        <f t="shared" si="0"/>
        <v>0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0</v>
      </c>
      <c r="M38" s="2"/>
      <c r="N38" s="6">
        <f t="shared" si="3"/>
        <v>0</v>
      </c>
      <c r="O38" s="14"/>
      <c r="P38" s="2">
        <f>SUM(OSRRefP22_3x_0)</f>
        <v>0</v>
      </c>
      <c r="Q38" s="2"/>
      <c r="R38" s="6">
        <f t="shared" si="4"/>
        <v>0</v>
      </c>
      <c r="S38" s="2"/>
      <c r="T38" s="2">
        <f>SUM(OSRRefT22_3x_0)</f>
        <v>81.56</v>
      </c>
      <c r="U38" s="2"/>
      <c r="V38" s="6">
        <f t="shared" si="5"/>
        <v>0</v>
      </c>
      <c r="W38" s="2"/>
      <c r="X38" s="2">
        <f t="shared" si="6"/>
        <v>-81.56</v>
      </c>
      <c r="Y38" s="2"/>
      <c r="Z38" s="6">
        <f t="shared" si="7"/>
        <v>-1</v>
      </c>
    </row>
    <row r="39" spans="1:26" s="69" customFormat="1" ht="15" hidden="1" customHeight="1" outlineLevel="2" x14ac:dyDescent="0.3">
      <c r="A39" s="26"/>
      <c r="B39" s="12" t="str">
        <f>CONCATENATE("          ","6277"," - ","EMPLOYEE APPRECIATION")</f>
        <v xml:space="preserve">          6277 - EMPLOYEE APPRECIATION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81.56</v>
      </c>
      <c r="U39" s="3"/>
      <c r="V39" s="7">
        <f t="shared" si="5"/>
        <v>0</v>
      </c>
      <c r="W39" s="3"/>
      <c r="X39" s="8">
        <f t="shared" si="6"/>
        <v>-81.56</v>
      </c>
      <c r="Y39" s="3"/>
      <c r="Z39" s="7">
        <f t="shared" si="7"/>
        <v>-1</v>
      </c>
    </row>
    <row r="40" spans="1:26" s="68" customFormat="1" ht="15" customHeight="1" outlineLevel="1" collapsed="1" x14ac:dyDescent="0.3">
      <c r="A40" s="25"/>
      <c r="B40" s="14" t="str">
        <f>CONCATENATE("     ","Freight out/Postage                               ")</f>
        <v xml:space="preserve">     Freight out/Postage                               </v>
      </c>
      <c r="C40" s="14"/>
      <c r="D40" s="2">
        <f>SUM(OSRRefD22_4x_0)</f>
        <v>9.49</v>
      </c>
      <c r="E40" s="2"/>
      <c r="F40" s="6">
        <f t="shared" si="0"/>
        <v>0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9.49</v>
      </c>
      <c r="M40" s="2"/>
      <c r="N40" s="6">
        <f t="shared" si="3"/>
        <v>0</v>
      </c>
      <c r="O40" s="14"/>
      <c r="P40" s="2">
        <f>SUM(OSRRefP22_4x_0)</f>
        <v>207.29</v>
      </c>
      <c r="Q40" s="2"/>
      <c r="R40" s="6">
        <f t="shared" si="4"/>
        <v>0</v>
      </c>
      <c r="S40" s="2"/>
      <c r="T40" s="2">
        <f>SUM(OSRRefT22_4x_0)</f>
        <v>106.55</v>
      </c>
      <c r="U40" s="2"/>
      <c r="V40" s="6">
        <f t="shared" si="5"/>
        <v>0</v>
      </c>
      <c r="W40" s="2"/>
      <c r="X40" s="2">
        <f t="shared" si="6"/>
        <v>100.74</v>
      </c>
      <c r="Y40" s="2"/>
      <c r="Z40" s="6">
        <f t="shared" si="7"/>
        <v>0.94547160957297038</v>
      </c>
    </row>
    <row r="41" spans="1:26" s="69" customFormat="1" ht="15" hidden="1" customHeight="1" outlineLevel="2" x14ac:dyDescent="0.3">
      <c r="A41" s="26"/>
      <c r="B41" s="12" t="str">
        <f>CONCATENATE("          ","6307"," - ","POSTAGE")</f>
        <v xml:space="preserve">          6307 - POSTAGE</v>
      </c>
      <c r="C41" s="12"/>
      <c r="D41" s="8">
        <v>9.49</v>
      </c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9.49</v>
      </c>
      <c r="M41" s="3"/>
      <c r="N41" s="7">
        <f t="shared" si="3"/>
        <v>0</v>
      </c>
      <c r="O41" s="12"/>
      <c r="P41" s="8">
        <v>207.29</v>
      </c>
      <c r="Q41" s="3"/>
      <c r="R41" s="7">
        <f t="shared" si="4"/>
        <v>0</v>
      </c>
      <c r="S41" s="3"/>
      <c r="T41" s="8">
        <v>106.55</v>
      </c>
      <c r="U41" s="3"/>
      <c r="V41" s="7">
        <f t="shared" si="5"/>
        <v>0</v>
      </c>
      <c r="W41" s="3"/>
      <c r="X41" s="8">
        <f t="shared" si="6"/>
        <v>100.74</v>
      </c>
      <c r="Y41" s="3"/>
      <c r="Z41" s="7">
        <f t="shared" si="7"/>
        <v>0.94547160957297038</v>
      </c>
    </row>
    <row r="42" spans="1:26" s="68" customFormat="1" ht="15" customHeight="1" outlineLevel="1" collapsed="1" x14ac:dyDescent="0.3">
      <c r="A42" s="25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SUM(OSRRefD22_5x_0)</f>
        <v>55.5</v>
      </c>
      <c r="E42" s="2"/>
      <c r="F42" s="6">
        <f t="shared" si="0"/>
        <v>0</v>
      </c>
      <c r="G42" s="2"/>
      <c r="H42" s="2">
        <f>SUM(OSRRefH22_5x_0)</f>
        <v>-489.4</v>
      </c>
      <c r="I42" s="2"/>
      <c r="J42" s="6">
        <f t="shared" si="1"/>
        <v>0</v>
      </c>
      <c r="K42" s="2"/>
      <c r="L42" s="2">
        <f t="shared" si="2"/>
        <v>544.9</v>
      </c>
      <c r="M42" s="2"/>
      <c r="N42" s="6">
        <f t="shared" si="3"/>
        <v>-1.113404168369432</v>
      </c>
      <c r="O42" s="14"/>
      <c r="P42" s="2">
        <f>SUM(OSRRefP22_5x_0)</f>
        <v>2789.25</v>
      </c>
      <c r="Q42" s="2"/>
      <c r="R42" s="6">
        <f t="shared" si="4"/>
        <v>0</v>
      </c>
      <c r="S42" s="2"/>
      <c r="T42" s="2">
        <f>SUM(OSRRefT22_5x_0)</f>
        <v>177.14</v>
      </c>
      <c r="U42" s="2"/>
      <c r="V42" s="6">
        <f t="shared" si="5"/>
        <v>0</v>
      </c>
      <c r="W42" s="2"/>
      <c r="X42" s="2">
        <f t="shared" si="6"/>
        <v>2612.11</v>
      </c>
      <c r="Y42" s="2"/>
      <c r="Z42" s="6">
        <f t="shared" si="7"/>
        <v>14.746020097098341</v>
      </c>
    </row>
    <row r="43" spans="1:26" s="69" customFormat="1" ht="15" hidden="1" customHeight="1" outlineLevel="2" x14ac:dyDescent="0.3">
      <c r="A43" s="26"/>
      <c r="B43" s="12" t="str">
        <f>CONCATENATE("          ","6279"," - ","GENERAL EXPENSE")</f>
        <v xml:space="preserve">          6279 - GENERAL EXPENSE</v>
      </c>
      <c r="C43" s="12"/>
      <c r="D43" s="8">
        <v>55.5</v>
      </c>
      <c r="E43" s="3"/>
      <c r="F43" s="7">
        <f t="shared" si="0"/>
        <v>0</v>
      </c>
      <c r="G43" s="3"/>
      <c r="H43" s="8">
        <v>-489.4</v>
      </c>
      <c r="I43" s="3"/>
      <c r="J43" s="7">
        <f t="shared" si="1"/>
        <v>0</v>
      </c>
      <c r="K43" s="3"/>
      <c r="L43" s="8">
        <f t="shared" si="2"/>
        <v>544.9</v>
      </c>
      <c r="M43" s="3"/>
      <c r="N43" s="7">
        <f t="shared" si="3"/>
        <v>-1.113404168369432</v>
      </c>
      <c r="O43" s="12"/>
      <c r="P43" s="8">
        <v>2789.25</v>
      </c>
      <c r="Q43" s="3"/>
      <c r="R43" s="7">
        <f t="shared" si="4"/>
        <v>0</v>
      </c>
      <c r="S43" s="3"/>
      <c r="T43" s="8">
        <v>177.14</v>
      </c>
      <c r="U43" s="3"/>
      <c r="V43" s="7">
        <f t="shared" si="5"/>
        <v>0</v>
      </c>
      <c r="W43" s="3"/>
      <c r="X43" s="8">
        <f t="shared" si="6"/>
        <v>2612.11</v>
      </c>
      <c r="Y43" s="3"/>
      <c r="Z43" s="7">
        <f t="shared" si="7"/>
        <v>14.746020097098341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SUM(OSRRefD22_6x_0)</f>
        <v>88.99</v>
      </c>
      <c r="E44" s="2"/>
      <c r="F44" s="6">
        <f t="shared" si="0"/>
        <v>0</v>
      </c>
      <c r="G44" s="2"/>
      <c r="H44" s="2">
        <f>SUM(OSRRefH22_6x_0)</f>
        <v>65.47</v>
      </c>
      <c r="I44" s="2"/>
      <c r="J44" s="6">
        <f t="shared" si="1"/>
        <v>0</v>
      </c>
      <c r="K44" s="2"/>
      <c r="L44" s="2">
        <f t="shared" si="2"/>
        <v>23.519999999999996</v>
      </c>
      <c r="M44" s="2"/>
      <c r="N44" s="6">
        <f t="shared" si="3"/>
        <v>0.35924851076829079</v>
      </c>
      <c r="O44" s="14"/>
      <c r="P44" s="2">
        <f>SUM(OSRRefP22_6x_0)</f>
        <v>711.92</v>
      </c>
      <c r="Q44" s="2"/>
      <c r="R44" s="6">
        <f t="shared" si="4"/>
        <v>0</v>
      </c>
      <c r="S44" s="2"/>
      <c r="T44" s="2">
        <f>SUM(OSRRefT22_6x_0)</f>
        <v>523.76</v>
      </c>
      <c r="U44" s="2"/>
      <c r="V44" s="6">
        <f t="shared" si="5"/>
        <v>0</v>
      </c>
      <c r="W44" s="2"/>
      <c r="X44" s="2">
        <f t="shared" si="6"/>
        <v>188.15999999999997</v>
      </c>
      <c r="Y44" s="2"/>
      <c r="Z44" s="6">
        <f t="shared" si="7"/>
        <v>0.35924851076829079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88.99</v>
      </c>
      <c r="E45" s="3"/>
      <c r="F45" s="7">
        <f t="shared" si="0"/>
        <v>0</v>
      </c>
      <c r="G45" s="3"/>
      <c r="H45" s="8">
        <v>65.47</v>
      </c>
      <c r="I45" s="3"/>
      <c r="J45" s="7">
        <f t="shared" si="1"/>
        <v>0</v>
      </c>
      <c r="K45" s="3"/>
      <c r="L45" s="8">
        <f t="shared" si="2"/>
        <v>23.519999999999996</v>
      </c>
      <c r="M45" s="3"/>
      <c r="N45" s="7">
        <f t="shared" si="3"/>
        <v>0.35924851076829079</v>
      </c>
      <c r="O45" s="12"/>
      <c r="P45" s="8">
        <v>711.92</v>
      </c>
      <c r="Q45" s="3"/>
      <c r="R45" s="7">
        <f t="shared" si="4"/>
        <v>0</v>
      </c>
      <c r="S45" s="3"/>
      <c r="T45" s="8">
        <v>523.76</v>
      </c>
      <c r="U45" s="3"/>
      <c r="V45" s="7">
        <f t="shared" si="5"/>
        <v>0</v>
      </c>
      <c r="W45" s="3"/>
      <c r="X45" s="8">
        <f t="shared" si="6"/>
        <v>188.15999999999997</v>
      </c>
      <c r="Y45" s="3"/>
      <c r="Z45" s="7">
        <f t="shared" si="7"/>
        <v>0.35924851076829079</v>
      </c>
    </row>
    <row r="46" spans="1:26" s="68" customFormat="1" ht="15" customHeight="1" outlineLevel="1" collapsed="1" x14ac:dyDescent="0.3">
      <c r="A46" s="25"/>
      <c r="B46" s="14" t="str">
        <f>CONCATENATE("     ","Professional Services                             ")</f>
        <v xml:space="preserve">     Professional Services                             </v>
      </c>
      <c r="C46" s="14"/>
      <c r="D46" s="2">
        <f>SUM(OSRRefD22_7x_0)</f>
        <v>0</v>
      </c>
      <c r="E46" s="2"/>
      <c r="F46" s="6">
        <f t="shared" si="0"/>
        <v>0</v>
      </c>
      <c r="G46" s="2"/>
      <c r="H46" s="2">
        <f>SUM(OSRRefH22_7x_0)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SUM(OSRRefP22_7x_0)</f>
        <v>10558.68</v>
      </c>
      <c r="Q46" s="2"/>
      <c r="R46" s="6">
        <f t="shared" si="4"/>
        <v>0</v>
      </c>
      <c r="S46" s="2"/>
      <c r="T46" s="2">
        <f>SUM(OSRRefT22_7x_0)</f>
        <v>8819.880000000001</v>
      </c>
      <c r="U46" s="2"/>
      <c r="V46" s="6">
        <f t="shared" si="5"/>
        <v>0</v>
      </c>
      <c r="W46" s="2"/>
      <c r="X46" s="2">
        <f t="shared" si="6"/>
        <v>1738.7999999999993</v>
      </c>
      <c r="Y46" s="2"/>
      <c r="Z46" s="6">
        <f t="shared" si="7"/>
        <v>0.19714553939509372</v>
      </c>
    </row>
    <row r="47" spans="1:26" s="69" customFormat="1" ht="15" hidden="1" customHeight="1" outlineLevel="2" x14ac:dyDescent="0.3">
      <c r="A47" s="26"/>
      <c r="B47" s="12" t="str">
        <f>CONCATENATE("          ","6334"," - ","LEGAL COUNCIL EXPENSE")</f>
        <v xml:space="preserve">          6334 - LEGAL COUNCIL EXPENSE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3255</v>
      </c>
      <c r="Q47" s="3"/>
      <c r="R47" s="7">
        <f t="shared" si="4"/>
        <v>0</v>
      </c>
      <c r="S47" s="3"/>
      <c r="T47" s="8">
        <v>2450</v>
      </c>
      <c r="U47" s="3"/>
      <c r="V47" s="7">
        <f t="shared" si="5"/>
        <v>0</v>
      </c>
      <c r="W47" s="3"/>
      <c r="X47" s="8">
        <f t="shared" si="6"/>
        <v>805</v>
      </c>
      <c r="Y47" s="3"/>
      <c r="Z47" s="7">
        <f t="shared" si="7"/>
        <v>0.32857142857142857</v>
      </c>
    </row>
    <row r="48" spans="1:26" s="69" customFormat="1" ht="15" hidden="1" customHeight="1" outlineLevel="2" x14ac:dyDescent="0.3">
      <c r="A48" s="26"/>
      <c r="B48" s="12" t="str">
        <f>CONCATENATE("          ","6336"," - ","PROFESSIONAL SERVICES")</f>
        <v xml:space="preserve">          6336 - PROFESSIONAL SERVICES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7303.68</v>
      </c>
      <c r="Q48" s="3"/>
      <c r="R48" s="7">
        <f t="shared" si="4"/>
        <v>0</v>
      </c>
      <c r="S48" s="3"/>
      <c r="T48" s="8">
        <v>6369.88</v>
      </c>
      <c r="U48" s="3"/>
      <c r="V48" s="7">
        <f t="shared" si="5"/>
        <v>0</v>
      </c>
      <c r="W48" s="3"/>
      <c r="X48" s="8">
        <f t="shared" si="6"/>
        <v>933.80000000000018</v>
      </c>
      <c r="Y48" s="3"/>
      <c r="Z48" s="7">
        <f t="shared" si="7"/>
        <v>0.14659616821666974</v>
      </c>
    </row>
    <row r="49" spans="1:26" s="68" customFormat="1" ht="15" customHeight="1" outlineLevel="1" collapsed="1" x14ac:dyDescent="0.3">
      <c r="A49" s="25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SUM(OSRRefD22_8x_0)</f>
        <v>10476.230000000001</v>
      </c>
      <c r="E49" s="2"/>
      <c r="F49" s="6">
        <f t="shared" si="0"/>
        <v>0</v>
      </c>
      <c r="G49" s="2"/>
      <c r="H49" s="2">
        <f>SUM(OSRRefH22_8x_0)</f>
        <v>10344.780000000001</v>
      </c>
      <c r="I49" s="2"/>
      <c r="J49" s="6">
        <f t="shared" si="1"/>
        <v>0</v>
      </c>
      <c r="K49" s="2"/>
      <c r="L49" s="2">
        <f t="shared" si="2"/>
        <v>131.45000000000073</v>
      </c>
      <c r="M49" s="2"/>
      <c r="N49" s="6">
        <f t="shared" si="3"/>
        <v>1.2706891785035614E-2</v>
      </c>
      <c r="O49" s="14"/>
      <c r="P49" s="2">
        <f>SUM(OSRRefP22_8x_0)</f>
        <v>52043.81</v>
      </c>
      <c r="Q49" s="2"/>
      <c r="R49" s="6">
        <f t="shared" si="4"/>
        <v>0</v>
      </c>
      <c r="S49" s="2"/>
      <c r="T49" s="2">
        <f>SUM(OSRRefT22_8x_0)</f>
        <v>39360.07</v>
      </c>
      <c r="U49" s="2"/>
      <c r="V49" s="6">
        <f t="shared" si="5"/>
        <v>0</v>
      </c>
      <c r="W49" s="2"/>
      <c r="X49" s="2">
        <f t="shared" si="6"/>
        <v>12683.739999999998</v>
      </c>
      <c r="Y49" s="2"/>
      <c r="Z49" s="6">
        <f t="shared" si="7"/>
        <v>0.32224891876462614</v>
      </c>
    </row>
    <row r="50" spans="1:26" s="69" customFormat="1" ht="15" hidden="1" customHeight="1" outlineLevel="2" x14ac:dyDescent="0.3">
      <c r="A50" s="26"/>
      <c r="B50" s="12" t="str">
        <f>CONCATENATE("          ","6371"," - ","COMPUTER SOFTWARE MAINTENANCE")</f>
        <v xml:space="preserve">          6371 - COMPUTER SOFTWARE MAINTENANCE</v>
      </c>
      <c r="C50" s="12"/>
      <c r="D50" s="8">
        <v>10341.94</v>
      </c>
      <c r="E50" s="3"/>
      <c r="F50" s="7">
        <f t="shared" si="0"/>
        <v>0</v>
      </c>
      <c r="G50" s="3"/>
      <c r="H50" s="8">
        <v>10296.85</v>
      </c>
      <c r="I50" s="3"/>
      <c r="J50" s="7">
        <f t="shared" si="1"/>
        <v>0</v>
      </c>
      <c r="K50" s="3"/>
      <c r="L50" s="8">
        <f t="shared" si="2"/>
        <v>45.090000000000146</v>
      </c>
      <c r="M50" s="3"/>
      <c r="N50" s="7">
        <f t="shared" si="3"/>
        <v>4.379009114437925E-3</v>
      </c>
      <c r="O50" s="12"/>
      <c r="P50" s="8">
        <v>51611.18</v>
      </c>
      <c r="Q50" s="3"/>
      <c r="R50" s="7">
        <f t="shared" si="4"/>
        <v>0</v>
      </c>
      <c r="S50" s="3"/>
      <c r="T50" s="8">
        <v>39254.050000000003</v>
      </c>
      <c r="U50" s="3"/>
      <c r="V50" s="7">
        <f t="shared" si="5"/>
        <v>0</v>
      </c>
      <c r="W50" s="3"/>
      <c r="X50" s="8">
        <f t="shared" si="6"/>
        <v>12357.129999999997</v>
      </c>
      <c r="Y50" s="3"/>
      <c r="Z50" s="7">
        <f t="shared" si="7"/>
        <v>0.31479885514997807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>
        <v>134.29</v>
      </c>
      <c r="E51" s="3"/>
      <c r="F51" s="7">
        <f t="shared" si="0"/>
        <v>0</v>
      </c>
      <c r="G51" s="3"/>
      <c r="H51" s="8">
        <v>47.93</v>
      </c>
      <c r="I51" s="3"/>
      <c r="J51" s="7">
        <f t="shared" si="1"/>
        <v>0</v>
      </c>
      <c r="K51" s="3"/>
      <c r="L51" s="8">
        <f t="shared" si="2"/>
        <v>86.359999999999985</v>
      </c>
      <c r="M51" s="3"/>
      <c r="N51" s="7">
        <f t="shared" si="3"/>
        <v>1.8017942833298557</v>
      </c>
      <c r="O51" s="12"/>
      <c r="P51" s="8">
        <v>432.63</v>
      </c>
      <c r="Q51" s="3"/>
      <c r="R51" s="7">
        <f t="shared" si="4"/>
        <v>0</v>
      </c>
      <c r="S51" s="3"/>
      <c r="T51" s="8">
        <v>106.02</v>
      </c>
      <c r="U51" s="3"/>
      <c r="V51" s="7">
        <f t="shared" si="5"/>
        <v>0</v>
      </c>
      <c r="W51" s="3"/>
      <c r="X51" s="8">
        <f t="shared" si="6"/>
        <v>326.61</v>
      </c>
      <c r="Y51" s="3"/>
      <c r="Z51" s="7">
        <f t="shared" si="7"/>
        <v>3.080645161290323</v>
      </c>
    </row>
    <row r="52" spans="1:26" s="68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SUM(OSRRefD22_9x_0)</f>
        <v>1278.9000000000001</v>
      </c>
      <c r="E52" s="2"/>
      <c r="F52" s="6">
        <f t="shared" si="0"/>
        <v>0</v>
      </c>
      <c r="G52" s="2"/>
      <c r="H52" s="2">
        <f>SUM(OSRRefH22_9x_0)</f>
        <v>795</v>
      </c>
      <c r="I52" s="2"/>
      <c r="J52" s="6">
        <f t="shared" si="1"/>
        <v>0</v>
      </c>
      <c r="K52" s="2"/>
      <c r="L52" s="2">
        <f t="shared" si="2"/>
        <v>483.90000000000009</v>
      </c>
      <c r="M52" s="2"/>
      <c r="N52" s="6">
        <f t="shared" si="3"/>
        <v>0.60867924528301898</v>
      </c>
      <c r="O52" s="14"/>
      <c r="P52" s="2">
        <f>SUM(OSRRefP22_9x_0)</f>
        <v>2730.9</v>
      </c>
      <c r="Q52" s="2"/>
      <c r="R52" s="6">
        <f t="shared" si="4"/>
        <v>0</v>
      </c>
      <c r="S52" s="2"/>
      <c r="T52" s="2">
        <f>SUM(OSRRefT22_9x_0)</f>
        <v>1329.99</v>
      </c>
      <c r="U52" s="2"/>
      <c r="V52" s="6">
        <f t="shared" si="5"/>
        <v>0</v>
      </c>
      <c r="W52" s="2"/>
      <c r="X52" s="2">
        <f t="shared" si="6"/>
        <v>1400.91</v>
      </c>
      <c r="Y52" s="2"/>
      <c r="Z52" s="6">
        <f t="shared" si="7"/>
        <v>1.0533237092008212</v>
      </c>
    </row>
    <row r="53" spans="1:26" s="69" customFormat="1" ht="15" hidden="1" customHeight="1" outlineLevel="2" x14ac:dyDescent="0.3">
      <c r="A53" s="26"/>
      <c r="B53" s="12" t="str">
        <f>CONCATENATE("          ","6258"," - ","MEMBERSHIP DUES")</f>
        <v xml:space="preserve">          6258 - MEMBERSHIP DUES</v>
      </c>
      <c r="C53" s="12"/>
      <c r="D53" s="8"/>
      <c r="E53" s="3"/>
      <c r="F53" s="7">
        <f t="shared" si="0"/>
        <v>0</v>
      </c>
      <c r="G53" s="3"/>
      <c r="H53" s="8">
        <v>795</v>
      </c>
      <c r="I53" s="3"/>
      <c r="J53" s="7">
        <f t="shared" si="1"/>
        <v>0</v>
      </c>
      <c r="K53" s="3"/>
      <c r="L53" s="8">
        <f t="shared" si="2"/>
        <v>-795</v>
      </c>
      <c r="M53" s="3"/>
      <c r="N53" s="7">
        <f t="shared" si="3"/>
        <v>-1</v>
      </c>
      <c r="O53" s="12"/>
      <c r="P53" s="8">
        <v>1452</v>
      </c>
      <c r="Q53" s="3"/>
      <c r="R53" s="7">
        <f t="shared" si="4"/>
        <v>0</v>
      </c>
      <c r="S53" s="3"/>
      <c r="T53" s="8">
        <v>1329.99</v>
      </c>
      <c r="U53" s="3"/>
      <c r="V53" s="7">
        <f t="shared" si="5"/>
        <v>0</v>
      </c>
      <c r="W53" s="3"/>
      <c r="X53" s="8">
        <f t="shared" si="6"/>
        <v>122.00999999999999</v>
      </c>
      <c r="Y53" s="3"/>
      <c r="Z53" s="7">
        <f t="shared" si="7"/>
        <v>9.1737531861141808E-2</v>
      </c>
    </row>
    <row r="54" spans="1:26" s="69" customFormat="1" ht="15" hidden="1" customHeight="1" outlineLevel="2" x14ac:dyDescent="0.3">
      <c r="A54" s="26"/>
      <c r="B54" s="12" t="str">
        <f>CONCATENATE("          ","6275"," - ","SUBSCRIPTIONS")</f>
        <v xml:space="preserve">          6275 - SUBSCRIPTIONS</v>
      </c>
      <c r="C54" s="12"/>
      <c r="D54" s="8">
        <v>1278.9000000000001</v>
      </c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1278.9000000000001</v>
      </c>
      <c r="M54" s="3"/>
      <c r="N54" s="7">
        <f t="shared" si="3"/>
        <v>0</v>
      </c>
      <c r="O54" s="12"/>
      <c r="P54" s="8">
        <v>1278.9000000000001</v>
      </c>
      <c r="Q54" s="3"/>
      <c r="R54" s="7">
        <f t="shared" si="4"/>
        <v>0</v>
      </c>
      <c r="S54" s="3"/>
      <c r="T54" s="8"/>
      <c r="U54" s="3"/>
      <c r="V54" s="7">
        <f t="shared" si="5"/>
        <v>0</v>
      </c>
      <c r="W54" s="3"/>
      <c r="X54" s="8">
        <f t="shared" si="6"/>
        <v>1278.9000000000001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5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SUM(OSRRefD22_10x_0)</f>
        <v>8825.0600000000013</v>
      </c>
      <c r="E55" s="2"/>
      <c r="F55" s="6">
        <f t="shared" si="0"/>
        <v>0</v>
      </c>
      <c r="G55" s="2"/>
      <c r="H55" s="2">
        <f>SUM(OSRRefH22_10x_0)</f>
        <v>189.41</v>
      </c>
      <c r="I55" s="2"/>
      <c r="J55" s="6">
        <f t="shared" si="1"/>
        <v>0</v>
      </c>
      <c r="K55" s="2"/>
      <c r="L55" s="2">
        <f t="shared" si="2"/>
        <v>8635.6500000000015</v>
      </c>
      <c r="M55" s="2"/>
      <c r="N55" s="6">
        <f t="shared" si="3"/>
        <v>45.592365767382937</v>
      </c>
      <c r="O55" s="14"/>
      <c r="P55" s="2">
        <f>SUM(OSRRefP22_10x_0)</f>
        <v>16928.91</v>
      </c>
      <c r="Q55" s="2"/>
      <c r="R55" s="6">
        <f t="shared" si="4"/>
        <v>0</v>
      </c>
      <c r="S55" s="2"/>
      <c r="T55" s="2">
        <f>SUM(OSRRefT22_10x_0)</f>
        <v>2388.2600000000002</v>
      </c>
      <c r="U55" s="2"/>
      <c r="V55" s="6">
        <f t="shared" si="5"/>
        <v>0</v>
      </c>
      <c r="W55" s="2"/>
      <c r="X55" s="2">
        <f t="shared" si="6"/>
        <v>14540.65</v>
      </c>
      <c r="Y55" s="2"/>
      <c r="Z55" s="6">
        <f t="shared" si="7"/>
        <v>6.0883865240802919</v>
      </c>
    </row>
    <row r="56" spans="1:26" s="69" customFormat="1" ht="15" hidden="1" customHeight="1" outlineLevel="2" x14ac:dyDescent="0.3">
      <c r="A56" s="26"/>
      <c r="B56" s="12" t="str">
        <f>CONCATENATE("          ","6235"," - ","COVID-19 EXPENSES")</f>
        <v xml:space="preserve">          6235 - COVID-19 EXPENSES</v>
      </c>
      <c r="C56" s="12"/>
      <c r="D56" s="8">
        <v>188.36</v>
      </c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188.36</v>
      </c>
      <c r="M56" s="3"/>
      <c r="N56" s="7">
        <f t="shared" si="3"/>
        <v>0</v>
      </c>
      <c r="O56" s="12"/>
      <c r="P56" s="8">
        <v>2636.13</v>
      </c>
      <c r="Q56" s="3"/>
      <c r="R56" s="7">
        <f t="shared" si="4"/>
        <v>0</v>
      </c>
      <c r="S56" s="3"/>
      <c r="T56" s="8">
        <v>210.58</v>
      </c>
      <c r="U56" s="3"/>
      <c r="V56" s="7">
        <f t="shared" si="5"/>
        <v>0</v>
      </c>
      <c r="W56" s="3"/>
      <c r="X56" s="8">
        <f t="shared" si="6"/>
        <v>2425.5500000000002</v>
      </c>
      <c r="Y56" s="3"/>
      <c r="Z56" s="7">
        <f t="shared" si="7"/>
        <v>11.518425301548106</v>
      </c>
    </row>
    <row r="57" spans="1:26" s="69" customFormat="1" ht="15" hidden="1" customHeight="1" outlineLevel="2" x14ac:dyDescent="0.3">
      <c r="A57" s="26"/>
      <c r="B57" s="12" t="str">
        <f>CONCATENATE("          ","6241"," - ","OFFICE EXPENSE")</f>
        <v xml:space="preserve">          6241 - OFFICE EXPENSE</v>
      </c>
      <c r="C57" s="12"/>
      <c r="D57" s="8">
        <v>85.1</v>
      </c>
      <c r="E57" s="3"/>
      <c r="F57" s="7">
        <f t="shared" si="0"/>
        <v>0</v>
      </c>
      <c r="G57" s="3"/>
      <c r="H57" s="8">
        <v>189.41</v>
      </c>
      <c r="I57" s="3"/>
      <c r="J57" s="7">
        <f t="shared" si="1"/>
        <v>0</v>
      </c>
      <c r="K57" s="3"/>
      <c r="L57" s="8">
        <f t="shared" si="2"/>
        <v>-104.31</v>
      </c>
      <c r="M57" s="3"/>
      <c r="N57" s="7">
        <f t="shared" si="3"/>
        <v>-0.55071009978353835</v>
      </c>
      <c r="O57" s="12"/>
      <c r="P57" s="8">
        <v>2356.4899999999998</v>
      </c>
      <c r="Q57" s="3"/>
      <c r="R57" s="7">
        <f t="shared" si="4"/>
        <v>0</v>
      </c>
      <c r="S57" s="3"/>
      <c r="T57" s="8">
        <v>1954.97</v>
      </c>
      <c r="U57" s="3"/>
      <c r="V57" s="7">
        <f t="shared" si="5"/>
        <v>0</v>
      </c>
      <c r="W57" s="3"/>
      <c r="X57" s="8">
        <f t="shared" si="6"/>
        <v>401.51999999999975</v>
      </c>
      <c r="Y57" s="3"/>
      <c r="Z57" s="7">
        <f t="shared" si="7"/>
        <v>0.20538422584489774</v>
      </c>
    </row>
    <row r="58" spans="1:26" s="69" customFormat="1" ht="15" hidden="1" customHeight="1" outlineLevel="2" x14ac:dyDescent="0.3">
      <c r="A58" s="26"/>
      <c r="B58" s="12" t="str">
        <f>CONCATENATE("          ","6244"," - ","SAFETY SUPPLY EXPENSE")</f>
        <v xml:space="preserve">          6244 - SAFETY SUPPLY EXPENSE</v>
      </c>
      <c r="C58" s="12"/>
      <c r="D58" s="8">
        <v>50</v>
      </c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50</v>
      </c>
      <c r="M58" s="3"/>
      <c r="N58" s="7">
        <f t="shared" si="3"/>
        <v>0</v>
      </c>
      <c r="O58" s="12"/>
      <c r="P58" s="8">
        <v>650</v>
      </c>
      <c r="Q58" s="3"/>
      <c r="R58" s="7">
        <f t="shared" si="4"/>
        <v>0</v>
      </c>
      <c r="S58" s="3"/>
      <c r="T58" s="8">
        <v>222.71</v>
      </c>
      <c r="U58" s="3"/>
      <c r="V58" s="7">
        <f t="shared" si="5"/>
        <v>0</v>
      </c>
      <c r="W58" s="3"/>
      <c r="X58" s="8">
        <f t="shared" si="6"/>
        <v>427.28999999999996</v>
      </c>
      <c r="Y58" s="3"/>
      <c r="Z58" s="7">
        <f t="shared" si="7"/>
        <v>1.9185936868573479</v>
      </c>
    </row>
    <row r="59" spans="1:26" s="69" customFormat="1" ht="15" hidden="1" customHeight="1" outlineLevel="2" x14ac:dyDescent="0.3">
      <c r="A59" s="26"/>
      <c r="B59" s="12" t="str">
        <f>CONCATENATE("          ","6248"," - ","UNIFORMS")</f>
        <v xml:space="preserve">          6248 - UNIFORMS</v>
      </c>
      <c r="C59" s="12"/>
      <c r="D59" s="8">
        <v>8501.6</v>
      </c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8501.6</v>
      </c>
      <c r="M59" s="3"/>
      <c r="N59" s="7">
        <f t="shared" si="3"/>
        <v>0</v>
      </c>
      <c r="O59" s="12"/>
      <c r="P59" s="8">
        <v>11286.29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11286.29</v>
      </c>
      <c r="Y59" s="3"/>
      <c r="Z59" s="7">
        <f t="shared" si="7"/>
        <v>0</v>
      </c>
    </row>
    <row r="60" spans="1:26" s="68" customFormat="1" ht="15" customHeight="1" outlineLevel="1" collapsed="1" x14ac:dyDescent="0.3">
      <c r="A60" s="25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SUM(OSRRefD22_11x_0)</f>
        <v>578.6</v>
      </c>
      <c r="E60" s="2"/>
      <c r="F60" s="6">
        <f t="shared" si="0"/>
        <v>0</v>
      </c>
      <c r="G60" s="2"/>
      <c r="H60" s="2">
        <f>SUM(OSRRefH22_11x_0)</f>
        <v>270.55</v>
      </c>
      <c r="I60" s="2"/>
      <c r="J60" s="6">
        <f t="shared" si="1"/>
        <v>0</v>
      </c>
      <c r="K60" s="2"/>
      <c r="L60" s="2">
        <f t="shared" si="2"/>
        <v>308.05</v>
      </c>
      <c r="M60" s="2"/>
      <c r="N60" s="6">
        <f t="shared" si="3"/>
        <v>1.1386065422287932</v>
      </c>
      <c r="O60" s="14"/>
      <c r="P60" s="2">
        <f>SUM(OSRRefP22_11x_0)</f>
        <v>3977.8</v>
      </c>
      <c r="Q60" s="2"/>
      <c r="R60" s="6">
        <f t="shared" si="4"/>
        <v>0</v>
      </c>
      <c r="S60" s="2"/>
      <c r="T60" s="2">
        <f>SUM(OSRRefT22_11x_0)</f>
        <v>2528.5500000000002</v>
      </c>
      <c r="U60" s="2"/>
      <c r="V60" s="6">
        <f t="shared" si="5"/>
        <v>0</v>
      </c>
      <c r="W60" s="2"/>
      <c r="X60" s="2">
        <f t="shared" si="6"/>
        <v>1449.25</v>
      </c>
      <c r="Y60" s="2"/>
      <c r="Z60" s="6">
        <f t="shared" si="7"/>
        <v>0.57315457475628317</v>
      </c>
    </row>
    <row r="61" spans="1:26" s="69" customFormat="1" ht="15" hidden="1" customHeight="1" outlineLevel="2" x14ac:dyDescent="0.3">
      <c r="A61" s="26"/>
      <c r="B61" s="12" t="str">
        <f>CONCATENATE("          ","6309"," - ","TELEPHONE")</f>
        <v xml:space="preserve">          6309 - TELEPHONE</v>
      </c>
      <c r="C61" s="12"/>
      <c r="D61" s="8">
        <v>578.6</v>
      </c>
      <c r="E61" s="3"/>
      <c r="F61" s="7">
        <f t="shared" si="0"/>
        <v>0</v>
      </c>
      <c r="G61" s="3"/>
      <c r="H61" s="8">
        <v>270.55</v>
      </c>
      <c r="I61" s="3"/>
      <c r="J61" s="7">
        <f t="shared" si="1"/>
        <v>0</v>
      </c>
      <c r="K61" s="3"/>
      <c r="L61" s="8">
        <f t="shared" si="2"/>
        <v>308.05</v>
      </c>
      <c r="M61" s="3"/>
      <c r="N61" s="7">
        <f t="shared" si="3"/>
        <v>1.1386065422287932</v>
      </c>
      <c r="O61" s="12"/>
      <c r="P61" s="8">
        <v>3977.8</v>
      </c>
      <c r="Q61" s="3"/>
      <c r="R61" s="7">
        <f t="shared" si="4"/>
        <v>0</v>
      </c>
      <c r="S61" s="3"/>
      <c r="T61" s="8">
        <v>2528.5500000000002</v>
      </c>
      <c r="U61" s="3"/>
      <c r="V61" s="7">
        <f t="shared" si="5"/>
        <v>0</v>
      </c>
      <c r="W61" s="3"/>
      <c r="X61" s="8">
        <f t="shared" si="6"/>
        <v>1449.25</v>
      </c>
      <c r="Y61" s="3"/>
      <c r="Z61" s="7">
        <f t="shared" si="7"/>
        <v>0.57315457475628317</v>
      </c>
    </row>
    <row r="62" spans="1:26" s="68" customFormat="1" ht="15" customHeight="1" outlineLevel="1" collapsed="1" x14ac:dyDescent="0.3">
      <c r="A62" s="25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SUM(OSRRefD22_12x_0)</f>
        <v>0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SUM(OSRRefP22_12x_0)</f>
        <v>475</v>
      </c>
      <c r="Q62" s="2"/>
      <c r="R62" s="6">
        <f t="shared" si="4"/>
        <v>0</v>
      </c>
      <c r="S62" s="2"/>
      <c r="T62" s="2">
        <f>SUM(OSRRefT22_12x_0)</f>
        <v>-97</v>
      </c>
      <c r="U62" s="2"/>
      <c r="V62" s="6">
        <f t="shared" si="5"/>
        <v>0</v>
      </c>
      <c r="W62" s="2"/>
      <c r="X62" s="2">
        <f t="shared" si="6"/>
        <v>572</v>
      </c>
      <c r="Y62" s="2"/>
      <c r="Z62" s="6">
        <f t="shared" si="7"/>
        <v>-5.8969072164948457</v>
      </c>
    </row>
    <row r="63" spans="1:26" s="69" customFormat="1" ht="15" hidden="1" customHeight="1" outlineLevel="2" x14ac:dyDescent="0.3">
      <c r="A63" s="26"/>
      <c r="B63" s="12" t="str">
        <f>CONCATENATE("          ","6376"," - ","TRAINING")</f>
        <v xml:space="preserve">          6376 - TRAINING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>
        <v>475</v>
      </c>
      <c r="Q63" s="3"/>
      <c r="R63" s="7">
        <f t="shared" si="4"/>
        <v>0</v>
      </c>
      <c r="S63" s="3"/>
      <c r="T63" s="8">
        <v>-97</v>
      </c>
      <c r="U63" s="3"/>
      <c r="V63" s="7">
        <f t="shared" si="5"/>
        <v>0</v>
      </c>
      <c r="W63" s="3"/>
      <c r="X63" s="8">
        <f t="shared" si="6"/>
        <v>572</v>
      </c>
      <c r="Y63" s="3"/>
      <c r="Z63" s="7">
        <f t="shared" si="7"/>
        <v>-5.8969072164948457</v>
      </c>
    </row>
    <row r="64" spans="1:26" s="68" customFormat="1" ht="15" customHeight="1" outlineLevel="1" collapsed="1" x14ac:dyDescent="0.3">
      <c r="A64" s="25"/>
      <c r="B64" s="14" t="str">
        <f>CONCATENATE("     ","Travel                                            ")</f>
        <v xml:space="preserve">     Travel                                            </v>
      </c>
      <c r="C64" s="14"/>
      <c r="D64" s="2">
        <f>SUM(OSRRefD22_13x_0)</f>
        <v>0</v>
      </c>
      <c r="E64" s="2"/>
      <c r="F64" s="6">
        <f t="shared" si="0"/>
        <v>0</v>
      </c>
      <c r="G64" s="2"/>
      <c r="H64" s="2">
        <f>SUM(OSRRefH22_13x_0)</f>
        <v>0</v>
      </c>
      <c r="I64" s="2"/>
      <c r="J64" s="6">
        <f t="shared" si="1"/>
        <v>0</v>
      </c>
      <c r="K64" s="2"/>
      <c r="L64" s="2">
        <f t="shared" si="2"/>
        <v>0</v>
      </c>
      <c r="M64" s="2"/>
      <c r="N64" s="6">
        <f t="shared" si="3"/>
        <v>0</v>
      </c>
      <c r="O64" s="14"/>
      <c r="P64" s="2">
        <f>SUM(OSRRefP22_13x_0)</f>
        <v>0</v>
      </c>
      <c r="Q64" s="2"/>
      <c r="R64" s="6">
        <f t="shared" si="4"/>
        <v>0</v>
      </c>
      <c r="S64" s="2"/>
      <c r="T64" s="2">
        <f>SUM(OSRRefT22_13x_0)</f>
        <v>720</v>
      </c>
      <c r="U64" s="2"/>
      <c r="V64" s="6">
        <f t="shared" si="5"/>
        <v>0</v>
      </c>
      <c r="W64" s="2"/>
      <c r="X64" s="2">
        <f t="shared" si="6"/>
        <v>-720</v>
      </c>
      <c r="Y64" s="2"/>
      <c r="Z64" s="6">
        <f t="shared" si="7"/>
        <v>-1</v>
      </c>
    </row>
    <row r="65" spans="1:26" s="69" customFormat="1" ht="15" hidden="1" customHeight="1" outlineLevel="2" x14ac:dyDescent="0.3">
      <c r="A65" s="26"/>
      <c r="B65" s="12" t="str">
        <f>CONCATENATE("          ","6292"," - ","TRAVEL/CONFERENCE")</f>
        <v xml:space="preserve">          6292 - TRAVEL/CONFERENCE</v>
      </c>
      <c r="C65" s="12"/>
      <c r="D65" s="8"/>
      <c r="E65" s="3"/>
      <c r="F65" s="7">
        <f t="shared" si="0"/>
        <v>0</v>
      </c>
      <c r="G65" s="3"/>
      <c r="H65" s="8"/>
      <c r="I65" s="3"/>
      <c r="J65" s="7">
        <f t="shared" si="1"/>
        <v>0</v>
      </c>
      <c r="K65" s="3"/>
      <c r="L65" s="8">
        <f t="shared" si="2"/>
        <v>0</v>
      </c>
      <c r="M65" s="3"/>
      <c r="N65" s="7">
        <f t="shared" si="3"/>
        <v>0</v>
      </c>
      <c r="O65" s="12"/>
      <c r="P65" s="8"/>
      <c r="Q65" s="3"/>
      <c r="R65" s="7">
        <f t="shared" si="4"/>
        <v>0</v>
      </c>
      <c r="S65" s="3"/>
      <c r="T65" s="8">
        <v>720</v>
      </c>
      <c r="U65" s="3"/>
      <c r="V65" s="7">
        <f t="shared" si="5"/>
        <v>0</v>
      </c>
      <c r="W65" s="3"/>
      <c r="X65" s="8">
        <f t="shared" si="6"/>
        <v>-720</v>
      </c>
      <c r="Y65" s="3"/>
      <c r="Z65" s="7">
        <f t="shared" si="7"/>
        <v>-1</v>
      </c>
    </row>
    <row r="66" spans="1:26" s="64" customFormat="1" ht="15" customHeight="1" x14ac:dyDescent="0.3">
      <c r="A66" s="36"/>
      <c r="B66" s="36"/>
      <c r="C66" s="36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3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62" customFormat="1" ht="15" customHeight="1" x14ac:dyDescent="0.3">
      <c r="A67" s="11"/>
      <c r="B67" s="27" t="s">
        <v>290</v>
      </c>
      <c r="C67" s="11"/>
      <c r="D67" s="5">
        <f>SUM(0)</f>
        <v>0</v>
      </c>
      <c r="E67" s="5"/>
      <c r="F67" s="13">
        <f>IF(D$12=0,0,D67/D$12)</f>
        <v>0</v>
      </c>
      <c r="G67" s="5"/>
      <c r="H67" s="5">
        <f>SUM(0)</f>
        <v>0</v>
      </c>
      <c r="I67" s="5"/>
      <c r="J67" s="13">
        <f>IF(H$12=0,0,H67/H$12)</f>
        <v>0</v>
      </c>
      <c r="K67" s="5"/>
      <c r="L67" s="5">
        <f>+D67-H67</f>
        <v>0</v>
      </c>
      <c r="M67" s="5"/>
      <c r="N67" s="13">
        <f>IF(H67=0,0,L67/H67)</f>
        <v>0</v>
      </c>
      <c r="O67" s="11"/>
      <c r="P67" s="5">
        <f>SUM(0)</f>
        <v>0</v>
      </c>
      <c r="Q67" s="5"/>
      <c r="R67" s="13">
        <f>IF(P$12=0,0,P67/P$12)</f>
        <v>0</v>
      </c>
      <c r="S67" s="5"/>
      <c r="T67" s="5">
        <f>SUM(0)</f>
        <v>0</v>
      </c>
      <c r="U67" s="5"/>
      <c r="V67" s="13">
        <f>IF(T$12=0,0,T67/T$12)</f>
        <v>0</v>
      </c>
      <c r="W67" s="5"/>
      <c r="X67" s="5">
        <f>+P67-T67</f>
        <v>0</v>
      </c>
      <c r="Y67" s="5"/>
      <c r="Z67" s="13">
        <f>IF(T67=0,0,X67/T67)</f>
        <v>0</v>
      </c>
    </row>
    <row r="68" spans="1:26" ht="15" customHeight="1" x14ac:dyDescent="0.3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8" t="s">
        <v>291</v>
      </c>
      <c r="C69" s="28"/>
      <c r="D69" s="23">
        <f>+D16-D18+D67</f>
        <v>-63102.47</v>
      </c>
      <c r="E69" s="15"/>
      <c r="F69" s="22">
        <f>IF(D$12=0,0,D69/D$12)</f>
        <v>0</v>
      </c>
      <c r="G69" s="15"/>
      <c r="H69" s="23">
        <f>+H16-H18+H67</f>
        <v>-44218.12</v>
      </c>
      <c r="I69" s="15"/>
      <c r="J69" s="22">
        <f>IF(H$12=0,0,H69/H$12)</f>
        <v>0</v>
      </c>
      <c r="K69" s="17"/>
      <c r="L69" s="23">
        <f>+D69-H69</f>
        <v>-18884.349999999999</v>
      </c>
      <c r="M69" s="17"/>
      <c r="N69" s="22">
        <f>IF(H69=0,0,L69/H69)</f>
        <v>0.42707265709170805</v>
      </c>
      <c r="O69" s="27"/>
      <c r="P69" s="23">
        <f>+P16-P18+P67</f>
        <v>-448414.18999999994</v>
      </c>
      <c r="Q69" s="15"/>
      <c r="R69" s="22">
        <f>IF(P$12=0,0,P69/P$12)</f>
        <v>0</v>
      </c>
      <c r="S69" s="15"/>
      <c r="T69" s="23">
        <f>+T16-T18+T67</f>
        <v>-367065.24000000005</v>
      </c>
      <c r="U69" s="15"/>
      <c r="V69" s="22">
        <f>IF(T$12=0,0,T69/T$12)</f>
        <v>0</v>
      </c>
      <c r="W69" s="17"/>
      <c r="X69" s="23">
        <f>+P69-T69</f>
        <v>-81348.949999999895</v>
      </c>
      <c r="Y69" s="17"/>
      <c r="Z69" s="22">
        <f>IF(T69=0,0,X69/T69)</f>
        <v>0.22161986790141144</v>
      </c>
    </row>
    <row r="70" spans="1:26" ht="15" customHeight="1" x14ac:dyDescent="0.3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3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8" t="s">
        <v>293</v>
      </c>
      <c r="C73" s="28"/>
      <c r="D73" s="33">
        <f>+D69-D71</f>
        <v>-63102.47</v>
      </c>
      <c r="E73" s="15"/>
      <c r="F73" s="34">
        <f>IF(D$12=0,0,D73/D$12)</f>
        <v>0</v>
      </c>
      <c r="G73" s="15"/>
      <c r="H73" s="33">
        <f>+H69-H71</f>
        <v>-44218.12</v>
      </c>
      <c r="I73" s="15"/>
      <c r="J73" s="34">
        <f>IF(H$12=0,0,H73/H$12)</f>
        <v>0</v>
      </c>
      <c r="K73" s="17"/>
      <c r="L73" s="33">
        <f>D73-H73</f>
        <v>-18884.349999999999</v>
      </c>
      <c r="M73" s="17"/>
      <c r="N73" s="34">
        <f>IF(H73=0,0,L73/H73)</f>
        <v>0.42707265709170805</v>
      </c>
      <c r="O73" s="27"/>
      <c r="P73" s="33">
        <f>+P69-P71</f>
        <v>-448414.18999999994</v>
      </c>
      <c r="Q73" s="15"/>
      <c r="R73" s="34">
        <f>IF(P$12=0,0,P73/P$12)</f>
        <v>0</v>
      </c>
      <c r="S73" s="15"/>
      <c r="T73" s="33">
        <f>+T69-T71</f>
        <v>-367065.24000000005</v>
      </c>
      <c r="U73" s="15"/>
      <c r="V73" s="34">
        <f>IF(T$12=0,0,T73/T$12)</f>
        <v>0</v>
      </c>
      <c r="W73" s="17"/>
      <c r="X73" s="33">
        <f>P73-T73</f>
        <v>-81348.949999999895</v>
      </c>
      <c r="Y73" s="17"/>
      <c r="Z73" s="34">
        <f>IF(T73=0,0,X73/T73)</f>
        <v>0.22161986790141144</v>
      </c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3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296</v>
      </c>
      <c r="C76" s="28"/>
      <c r="D76" s="35">
        <f>SUM(D73:D75)</f>
        <v>-63102.47</v>
      </c>
      <c r="E76" s="15"/>
      <c r="F76" s="29">
        <f>IF(D$12=0,0,D76/D$12)</f>
        <v>0</v>
      </c>
      <c r="G76" s="15"/>
      <c r="H76" s="35">
        <f>SUM(H73:H75)</f>
        <v>-44218.12</v>
      </c>
      <c r="I76" s="15"/>
      <c r="J76" s="29">
        <f>IF(H$12=0,0,H76/H$12)</f>
        <v>0</v>
      </c>
      <c r="K76" s="17"/>
      <c r="L76" s="35">
        <f>+D76-H76</f>
        <v>-18884.349999999999</v>
      </c>
      <c r="M76" s="17"/>
      <c r="N76" s="29">
        <f>IF(H76=0,0,L76/H76)</f>
        <v>0.42707265709170805</v>
      </c>
      <c r="O76" s="27"/>
      <c r="P76" s="35">
        <f>SUM(P73:P75)</f>
        <v>-448414.18999999994</v>
      </c>
      <c r="Q76" s="15"/>
      <c r="R76" s="29">
        <f>IF(P$12=0,0,P76/P$12)</f>
        <v>0</v>
      </c>
      <c r="S76" s="15"/>
      <c r="T76" s="35">
        <f>SUM(T73:T75)</f>
        <v>-367065.24000000005</v>
      </c>
      <c r="U76" s="15"/>
      <c r="V76" s="29">
        <f>IF(T$12=0,0,T76/T$12)</f>
        <v>0</v>
      </c>
      <c r="W76" s="17"/>
      <c r="X76" s="35">
        <f>+P76-T76</f>
        <v>-81348.949999999895</v>
      </c>
      <c r="Y76" s="17"/>
      <c r="Z76" s="29">
        <f>IF(T76=0,0,X76/T76)</f>
        <v>0.22161986790141144</v>
      </c>
    </row>
    <row r="77" spans="1:26" ht="15" customHeight="1" x14ac:dyDescent="0.3">
      <c r="A77" s="10"/>
      <c r="C77" s="10"/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3">
      <c r="A78" s="10"/>
      <c r="B78" s="50">
        <v>44634.887810300927</v>
      </c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  <row r="79" spans="1:26" ht="15" customHeight="1" x14ac:dyDescent="0.3">
      <c r="A79" s="10"/>
      <c r="B79" s="58" t="s">
        <v>297</v>
      </c>
      <c r="D79" s="18"/>
      <c r="E79" s="18"/>
      <c r="G79" s="18"/>
      <c r="H79" s="18"/>
      <c r="I79" s="18"/>
      <c r="J79" s="41"/>
      <c r="K79" s="18"/>
      <c r="L79" s="18"/>
      <c r="M79" s="18"/>
      <c r="P79" s="18"/>
      <c r="Q79" s="18"/>
      <c r="R79" s="41"/>
      <c r="S79" s="18"/>
      <c r="T79" s="18"/>
      <c r="U79" s="18"/>
      <c r="V79" s="41"/>
      <c r="W79" s="18"/>
      <c r="X79" s="18"/>
    </row>
    <row r="80" spans="1:26" ht="15" customHeight="1" x14ac:dyDescent="0.3">
      <c r="A80" s="10"/>
      <c r="B80" s="56"/>
      <c r="D80" s="18"/>
      <c r="E80" s="18"/>
      <c r="G80" s="18"/>
      <c r="H80" s="18"/>
      <c r="I80" s="18"/>
      <c r="J80" s="41"/>
      <c r="K80" s="18"/>
      <c r="L80" s="18"/>
      <c r="M80" s="18"/>
      <c r="P80" s="18"/>
      <c r="Q80" s="18"/>
      <c r="R80" s="41"/>
      <c r="S80" s="18"/>
      <c r="T80" s="18"/>
      <c r="U80" s="18"/>
      <c r="V80" s="41"/>
      <c r="W80" s="18"/>
      <c r="X80" s="18"/>
    </row>
    <row r="81" spans="4:24" ht="15" customHeight="1" x14ac:dyDescent="0.3">
      <c r="D81" s="18"/>
      <c r="E81" s="18"/>
      <c r="G81" s="18"/>
      <c r="H81" s="18"/>
      <c r="I81" s="18"/>
      <c r="J81" s="41"/>
      <c r="K81" s="18"/>
      <c r="L81" s="18"/>
      <c r="M81" s="18"/>
      <c r="P81" s="18"/>
      <c r="Q81" s="18"/>
      <c r="R81" s="41"/>
      <c r="S81" s="18"/>
      <c r="T81" s="18"/>
      <c r="U81" s="18"/>
      <c r="V81" s="41"/>
      <c r="W81" s="18"/>
      <c r="X81" s="18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D175D-D928-E19D-7AAE-32D4CF8F4A9F}">
  <sheetPr>
    <tabColor rgb="FF92D050"/>
    <outlinePr summaryBelow="0" summaryRight="0"/>
  </sheetPr>
  <dimension ref="A2:Z6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","204"," - ","Information Technology")</f>
        <v>Department 204 - Information Technology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57203.45</v>
      </c>
      <c r="E18" s="21"/>
      <c r="F18" s="30">
        <f t="shared" ref="F18:F52" si="0">IF(D$12=0,0,D18/D$12)</f>
        <v>0</v>
      </c>
      <c r="G18" s="21"/>
      <c r="H18" s="21" cm="1">
        <f t="array" ref="H18">SUM(OSRRefH22x_0)</f>
        <v>48909.27</v>
      </c>
      <c r="I18" s="21"/>
      <c r="J18" s="30">
        <f t="shared" ref="J18:J52" si="1">IF(H$12=0,0,H18/H$12)</f>
        <v>0</v>
      </c>
      <c r="K18" s="5"/>
      <c r="L18" s="21">
        <f t="shared" ref="L18:L52" si="2">+D18-H18</f>
        <v>8294.18</v>
      </c>
      <c r="M18" s="5"/>
      <c r="N18" s="30">
        <f t="shared" ref="N18:N52" si="3">IF(H18=0,0,L18/H18)</f>
        <v>0.16958298498423716</v>
      </c>
      <c r="O18" s="11"/>
      <c r="P18" s="21" cm="1">
        <f t="array" ref="P18">SUM(OSRRefP22x_0)</f>
        <v>375930.83999999997</v>
      </c>
      <c r="Q18" s="21"/>
      <c r="R18" s="30">
        <f t="shared" ref="R18:R52" si="4">IF(P$12=0,0,P18/P$12)</f>
        <v>0</v>
      </c>
      <c r="S18" s="21"/>
      <c r="T18" s="21" cm="1">
        <f t="array" ref="T18">SUM(OSRRefT22x_0)</f>
        <v>406084.63999999996</v>
      </c>
      <c r="U18" s="21"/>
      <c r="V18" s="30">
        <f t="shared" ref="V18:V52" si="5">IF(T$12=0,0,T18/T$12)</f>
        <v>0</v>
      </c>
      <c r="W18" s="5"/>
      <c r="X18" s="21">
        <f t="shared" ref="X18:X52" si="6">+P18-T18</f>
        <v>-30153.799999999988</v>
      </c>
      <c r="Y18" s="5"/>
      <c r="Z18" s="30">
        <f t="shared" ref="Z18:Z52" si="7">IF(T18=0,0,X18/T18)</f>
        <v>-7.4254963201760088E-2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10856.75</v>
      </c>
      <c r="E19" s="2"/>
      <c r="F19" s="6">
        <f t="shared" si="0"/>
        <v>0</v>
      </c>
      <c r="G19" s="2"/>
      <c r="H19" s="2">
        <f>SUM(OSRRefH22_0x_0)</f>
        <v>10174.23</v>
      </c>
      <c r="I19" s="2"/>
      <c r="J19" s="6">
        <f t="shared" si="1"/>
        <v>0</v>
      </c>
      <c r="K19" s="2"/>
      <c r="L19" s="2">
        <f t="shared" si="2"/>
        <v>682.52000000000044</v>
      </c>
      <c r="M19" s="2"/>
      <c r="N19" s="6">
        <f t="shared" si="3"/>
        <v>6.7083209245318853E-2</v>
      </c>
      <c r="O19" s="14"/>
      <c r="P19" s="2">
        <f>SUM(OSRRefP22_0x_0)</f>
        <v>91339.32</v>
      </c>
      <c r="Q19" s="2"/>
      <c r="R19" s="6">
        <f t="shared" si="4"/>
        <v>0</v>
      </c>
      <c r="S19" s="2"/>
      <c r="T19" s="2">
        <f>SUM(OSRRefT22_0x_0)</f>
        <v>98516.28</v>
      </c>
      <c r="U19" s="2"/>
      <c r="V19" s="6">
        <f t="shared" si="5"/>
        <v>0</v>
      </c>
      <c r="W19" s="2"/>
      <c r="X19" s="2">
        <f t="shared" si="6"/>
        <v>-7176.9599999999919</v>
      </c>
      <c r="Y19" s="2"/>
      <c r="Z19" s="6">
        <f t="shared" si="7"/>
        <v>-7.2850497400023542E-2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1474.55</v>
      </c>
      <c r="E20" s="3"/>
      <c r="F20" s="7">
        <f t="shared" si="0"/>
        <v>0</v>
      </c>
      <c r="G20" s="3"/>
      <c r="H20" s="8">
        <v>1417.14</v>
      </c>
      <c r="I20" s="3"/>
      <c r="J20" s="7">
        <f t="shared" si="1"/>
        <v>0</v>
      </c>
      <c r="K20" s="3"/>
      <c r="L20" s="8">
        <f t="shared" si="2"/>
        <v>57.409999999999854</v>
      </c>
      <c r="M20" s="3"/>
      <c r="N20" s="7">
        <f t="shared" si="3"/>
        <v>4.051117038542406E-2</v>
      </c>
      <c r="O20" s="12"/>
      <c r="P20" s="8">
        <v>12292.42</v>
      </c>
      <c r="Q20" s="3"/>
      <c r="R20" s="7">
        <f t="shared" si="4"/>
        <v>0</v>
      </c>
      <c r="S20" s="3"/>
      <c r="T20" s="8">
        <v>14124.85</v>
      </c>
      <c r="U20" s="3"/>
      <c r="V20" s="7">
        <f t="shared" si="5"/>
        <v>0</v>
      </c>
      <c r="W20" s="3"/>
      <c r="X20" s="8">
        <f t="shared" si="6"/>
        <v>-1832.4300000000003</v>
      </c>
      <c r="Y20" s="3"/>
      <c r="Z20" s="7">
        <f t="shared" si="7"/>
        <v>-0.129730935195772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248.65</v>
      </c>
      <c r="E21" s="3"/>
      <c r="F21" s="7">
        <f t="shared" si="0"/>
        <v>0</v>
      </c>
      <c r="G21" s="3"/>
      <c r="H21" s="8">
        <v>61.13</v>
      </c>
      <c r="I21" s="3"/>
      <c r="J21" s="7">
        <f t="shared" si="1"/>
        <v>0</v>
      </c>
      <c r="K21" s="3"/>
      <c r="L21" s="8">
        <f t="shared" si="2"/>
        <v>187.52</v>
      </c>
      <c r="M21" s="3"/>
      <c r="N21" s="7">
        <f t="shared" si="3"/>
        <v>3.0675609357107803</v>
      </c>
      <c r="O21" s="12"/>
      <c r="P21" s="8">
        <v>2065.61</v>
      </c>
      <c r="Q21" s="3"/>
      <c r="R21" s="7">
        <f t="shared" si="4"/>
        <v>0</v>
      </c>
      <c r="S21" s="3"/>
      <c r="T21" s="8">
        <v>661.72</v>
      </c>
      <c r="U21" s="3"/>
      <c r="V21" s="7">
        <f t="shared" si="5"/>
        <v>0</v>
      </c>
      <c r="W21" s="3"/>
      <c r="X21" s="8">
        <f t="shared" si="6"/>
        <v>1403.89</v>
      </c>
      <c r="Y21" s="3"/>
      <c r="Z21" s="7">
        <f t="shared" si="7"/>
        <v>2.121577102097564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4446.67</v>
      </c>
      <c r="E22" s="3"/>
      <c r="F22" s="7">
        <f t="shared" si="0"/>
        <v>0</v>
      </c>
      <c r="G22" s="3"/>
      <c r="H22" s="8">
        <v>4844.5200000000004</v>
      </c>
      <c r="I22" s="3"/>
      <c r="J22" s="7">
        <f t="shared" si="1"/>
        <v>0</v>
      </c>
      <c r="K22" s="3"/>
      <c r="L22" s="8">
        <f t="shared" si="2"/>
        <v>-397.85000000000036</v>
      </c>
      <c r="M22" s="3"/>
      <c r="N22" s="7">
        <f t="shared" si="3"/>
        <v>-8.2123719171352444E-2</v>
      </c>
      <c r="O22" s="12"/>
      <c r="P22" s="8">
        <v>37926.71</v>
      </c>
      <c r="Q22" s="3"/>
      <c r="R22" s="7">
        <f t="shared" si="4"/>
        <v>0</v>
      </c>
      <c r="S22" s="3"/>
      <c r="T22" s="8">
        <v>43069.42</v>
      </c>
      <c r="U22" s="3"/>
      <c r="V22" s="7">
        <f t="shared" si="5"/>
        <v>0</v>
      </c>
      <c r="W22" s="3"/>
      <c r="X22" s="8">
        <f t="shared" si="6"/>
        <v>-5142.7099999999991</v>
      </c>
      <c r="Y22" s="3"/>
      <c r="Z22" s="7">
        <f t="shared" si="7"/>
        <v>-0.11940513710191591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50.12</v>
      </c>
      <c r="E23" s="3"/>
      <c r="F23" s="7">
        <f t="shared" si="0"/>
        <v>0</v>
      </c>
      <c r="G23" s="3"/>
      <c r="H23" s="8">
        <v>48.16</v>
      </c>
      <c r="I23" s="3"/>
      <c r="J23" s="7">
        <f t="shared" si="1"/>
        <v>0</v>
      </c>
      <c r="K23" s="3"/>
      <c r="L23" s="8">
        <f t="shared" si="2"/>
        <v>1.9600000000000009</v>
      </c>
      <c r="M23" s="3"/>
      <c r="N23" s="7">
        <f t="shared" si="3"/>
        <v>4.0697674418604675E-2</v>
      </c>
      <c r="O23" s="12"/>
      <c r="P23" s="8">
        <v>416.32</v>
      </c>
      <c r="Q23" s="3"/>
      <c r="R23" s="7">
        <f t="shared" si="4"/>
        <v>0</v>
      </c>
      <c r="S23" s="3"/>
      <c r="T23" s="8">
        <v>482.18</v>
      </c>
      <c r="U23" s="3"/>
      <c r="V23" s="7">
        <f t="shared" si="5"/>
        <v>0</v>
      </c>
      <c r="W23" s="3"/>
      <c r="X23" s="8">
        <f t="shared" si="6"/>
        <v>-65.860000000000014</v>
      </c>
      <c r="Y23" s="3"/>
      <c r="Z23" s="7">
        <f t="shared" si="7"/>
        <v>-0.1365879961839977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1907.46</v>
      </c>
      <c r="E24" s="3"/>
      <c r="F24" s="7">
        <f t="shared" si="0"/>
        <v>0</v>
      </c>
      <c r="G24" s="3"/>
      <c r="H24" s="8">
        <v>1861.21</v>
      </c>
      <c r="I24" s="3"/>
      <c r="J24" s="7">
        <f t="shared" si="1"/>
        <v>0</v>
      </c>
      <c r="K24" s="3"/>
      <c r="L24" s="8">
        <f t="shared" si="2"/>
        <v>46.25</v>
      </c>
      <c r="M24" s="3"/>
      <c r="N24" s="7">
        <f t="shared" si="3"/>
        <v>2.4849425911100842E-2</v>
      </c>
      <c r="O24" s="12"/>
      <c r="P24" s="8">
        <v>15883.32</v>
      </c>
      <c r="Q24" s="3"/>
      <c r="R24" s="7">
        <f t="shared" si="4"/>
        <v>0</v>
      </c>
      <c r="S24" s="3"/>
      <c r="T24" s="8">
        <v>18206.11</v>
      </c>
      <c r="U24" s="3"/>
      <c r="V24" s="7">
        <f t="shared" si="5"/>
        <v>0</v>
      </c>
      <c r="W24" s="3"/>
      <c r="X24" s="8">
        <f t="shared" si="6"/>
        <v>-2322.7900000000009</v>
      </c>
      <c r="Y24" s="3"/>
      <c r="Z24" s="7">
        <f t="shared" si="7"/>
        <v>-0.12758299274254636</v>
      </c>
    </row>
    <row r="25" spans="1:26" s="69" customFormat="1" ht="15" hidden="1" customHeight="1" outlineLevel="2" x14ac:dyDescent="0.3">
      <c r="A25" s="26"/>
      <c r="B25" s="12" t="str">
        <f>CONCATENATE("          ","6117"," - ","RETIREMENT STAFF HOURLY")</f>
        <v xml:space="preserve">          6117 - RETIREMENT STAFF HOURLY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912.28</v>
      </c>
      <c r="U25" s="3"/>
      <c r="V25" s="7">
        <f t="shared" si="5"/>
        <v>0</v>
      </c>
      <c r="W25" s="3"/>
      <c r="X25" s="8">
        <f t="shared" si="6"/>
        <v>-912.28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1493.96</v>
      </c>
      <c r="E26" s="3"/>
      <c r="F26" s="7">
        <f t="shared" si="0"/>
        <v>0</v>
      </c>
      <c r="G26" s="3"/>
      <c r="H26" s="8">
        <v>1038.9100000000001</v>
      </c>
      <c r="I26" s="3"/>
      <c r="J26" s="7">
        <f t="shared" si="1"/>
        <v>0</v>
      </c>
      <c r="K26" s="3"/>
      <c r="L26" s="8">
        <f t="shared" si="2"/>
        <v>455.04999999999995</v>
      </c>
      <c r="M26" s="3"/>
      <c r="N26" s="7">
        <f t="shared" si="3"/>
        <v>0.43800714210085562</v>
      </c>
      <c r="O26" s="12"/>
      <c r="P26" s="8">
        <v>12729.91</v>
      </c>
      <c r="Q26" s="3"/>
      <c r="R26" s="7">
        <f t="shared" si="4"/>
        <v>0</v>
      </c>
      <c r="S26" s="3"/>
      <c r="T26" s="8">
        <v>11726.46</v>
      </c>
      <c r="U26" s="3"/>
      <c r="V26" s="7">
        <f t="shared" si="5"/>
        <v>0</v>
      </c>
      <c r="W26" s="3"/>
      <c r="X26" s="8">
        <f t="shared" si="6"/>
        <v>1003.4500000000007</v>
      </c>
      <c r="Y26" s="3"/>
      <c r="Z26" s="7">
        <f t="shared" si="7"/>
        <v>8.5571434175360742E-2</v>
      </c>
    </row>
    <row r="27" spans="1:26" s="69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877.84</v>
      </c>
      <c r="E27" s="3"/>
      <c r="F27" s="7">
        <f t="shared" si="0"/>
        <v>0</v>
      </c>
      <c r="G27" s="3"/>
      <c r="H27" s="8">
        <v>844.06</v>
      </c>
      <c r="I27" s="3"/>
      <c r="J27" s="7">
        <f t="shared" si="1"/>
        <v>0</v>
      </c>
      <c r="K27" s="3"/>
      <c r="L27" s="8">
        <f t="shared" si="2"/>
        <v>33.780000000000086</v>
      </c>
      <c r="M27" s="3"/>
      <c r="N27" s="7">
        <f t="shared" si="3"/>
        <v>4.002085159822772E-2</v>
      </c>
      <c r="O27" s="12"/>
      <c r="P27" s="8">
        <v>8204.99</v>
      </c>
      <c r="Q27" s="3"/>
      <c r="R27" s="7">
        <f t="shared" si="4"/>
        <v>0</v>
      </c>
      <c r="S27" s="3"/>
      <c r="T27" s="8">
        <v>7949.41</v>
      </c>
      <c r="U27" s="3"/>
      <c r="V27" s="7">
        <f t="shared" si="5"/>
        <v>0</v>
      </c>
      <c r="W27" s="3"/>
      <c r="X27" s="8">
        <f t="shared" si="6"/>
        <v>255.57999999999993</v>
      </c>
      <c r="Y27" s="3"/>
      <c r="Z27" s="7">
        <f t="shared" si="7"/>
        <v>3.2150813708187141E-2</v>
      </c>
    </row>
    <row r="28" spans="1:26" s="69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357.5</v>
      </c>
      <c r="E28" s="3"/>
      <c r="F28" s="7">
        <f t="shared" si="0"/>
        <v>0</v>
      </c>
      <c r="G28" s="3"/>
      <c r="H28" s="8">
        <v>59.1</v>
      </c>
      <c r="I28" s="3"/>
      <c r="J28" s="7">
        <f t="shared" si="1"/>
        <v>0</v>
      </c>
      <c r="K28" s="3"/>
      <c r="L28" s="8">
        <f t="shared" si="2"/>
        <v>298.39999999999998</v>
      </c>
      <c r="M28" s="3"/>
      <c r="N28" s="7">
        <f t="shared" si="3"/>
        <v>5.0490693739424701</v>
      </c>
      <c r="O28" s="12"/>
      <c r="P28" s="8">
        <v>1820.04</v>
      </c>
      <c r="Q28" s="3"/>
      <c r="R28" s="7">
        <f t="shared" si="4"/>
        <v>0</v>
      </c>
      <c r="S28" s="3"/>
      <c r="T28" s="8">
        <v>1383.85</v>
      </c>
      <c r="U28" s="3"/>
      <c r="V28" s="7">
        <f t="shared" si="5"/>
        <v>0</v>
      </c>
      <c r="W28" s="3"/>
      <c r="X28" s="8">
        <f t="shared" si="6"/>
        <v>436.19000000000005</v>
      </c>
      <c r="Y28" s="3"/>
      <c r="Z28" s="7">
        <f t="shared" si="7"/>
        <v>0.31520034685840237</v>
      </c>
    </row>
    <row r="29" spans="1:26" s="68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18052.18</v>
      </c>
      <c r="E29" s="2"/>
      <c r="F29" s="6">
        <f t="shared" si="0"/>
        <v>0</v>
      </c>
      <c r="G29" s="2"/>
      <c r="H29" s="2">
        <f>SUM(OSRRefH22_1x_0)</f>
        <v>17527.439999999999</v>
      </c>
      <c r="I29" s="2"/>
      <c r="J29" s="6">
        <f t="shared" si="1"/>
        <v>0</v>
      </c>
      <c r="K29" s="2"/>
      <c r="L29" s="2">
        <f t="shared" si="2"/>
        <v>524.7400000000016</v>
      </c>
      <c r="M29" s="2"/>
      <c r="N29" s="6">
        <f t="shared" si="3"/>
        <v>2.9938199759919397E-2</v>
      </c>
      <c r="O29" s="14"/>
      <c r="P29" s="2">
        <f>SUM(OSRRefP22_1x_0)</f>
        <v>151056.18</v>
      </c>
      <c r="Q29" s="2"/>
      <c r="R29" s="6">
        <f t="shared" si="4"/>
        <v>0</v>
      </c>
      <c r="S29" s="2"/>
      <c r="T29" s="2">
        <f>SUM(OSRRefT22_1x_0)</f>
        <v>163285.63999999998</v>
      </c>
      <c r="U29" s="2"/>
      <c r="V29" s="6">
        <f t="shared" si="5"/>
        <v>0</v>
      </c>
      <c r="W29" s="2"/>
      <c r="X29" s="2">
        <f t="shared" si="6"/>
        <v>-12229.459999999992</v>
      </c>
      <c r="Y29" s="2"/>
      <c r="Z29" s="6">
        <f t="shared" si="7"/>
        <v>-7.489611456341165E-2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19050.18</v>
      </c>
      <c r="E30" s="3"/>
      <c r="F30" s="7">
        <f t="shared" si="0"/>
        <v>0</v>
      </c>
      <c r="G30" s="3"/>
      <c r="H30" s="8">
        <v>17527.439999999999</v>
      </c>
      <c r="I30" s="3"/>
      <c r="J30" s="7">
        <f t="shared" si="1"/>
        <v>0</v>
      </c>
      <c r="K30" s="3"/>
      <c r="L30" s="8">
        <f t="shared" si="2"/>
        <v>1522.7400000000016</v>
      </c>
      <c r="M30" s="3"/>
      <c r="N30" s="7">
        <f t="shared" si="3"/>
        <v>8.6877490380797298E-2</v>
      </c>
      <c r="O30" s="12"/>
      <c r="P30" s="8">
        <v>151056.18</v>
      </c>
      <c r="Q30" s="3"/>
      <c r="R30" s="7">
        <f t="shared" si="4"/>
        <v>0</v>
      </c>
      <c r="S30" s="3"/>
      <c r="T30" s="8">
        <v>149072.4</v>
      </c>
      <c r="U30" s="3"/>
      <c r="V30" s="7">
        <f t="shared" si="5"/>
        <v>0</v>
      </c>
      <c r="W30" s="3"/>
      <c r="X30" s="8">
        <f t="shared" si="6"/>
        <v>1983.7799999999988</v>
      </c>
      <c r="Y30" s="3"/>
      <c r="Z30" s="7">
        <f t="shared" si="7"/>
        <v>1.3307493540051672E-2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14213.24</v>
      </c>
      <c r="U31" s="3"/>
      <c r="V31" s="7">
        <f t="shared" si="5"/>
        <v>0</v>
      </c>
      <c r="W31" s="3"/>
      <c r="X31" s="8">
        <f t="shared" si="6"/>
        <v>-14213.24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","6007"," - ","STUDENT HOURLY")</f>
        <v xml:space="preserve">          6007 - STUDENT HOURLY</v>
      </c>
      <c r="C32" s="12"/>
      <c r="D32" s="8">
        <v>-998</v>
      </c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-998</v>
      </c>
      <c r="M32" s="3"/>
      <c r="N32" s="7">
        <f t="shared" si="3"/>
        <v>0</v>
      </c>
      <c r="O32" s="12"/>
      <c r="P32" s="8">
        <v>0</v>
      </c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","Depreciation                                      ")</f>
        <v xml:space="preserve">     Depreciation                                      </v>
      </c>
      <c r="C33" s="14"/>
      <c r="D33" s="2">
        <f>SUM(OSRRefD22_2x_0)</f>
        <v>2140.89</v>
      </c>
      <c r="E33" s="2"/>
      <c r="F33" s="6">
        <f t="shared" si="0"/>
        <v>0</v>
      </c>
      <c r="G33" s="2"/>
      <c r="H33" s="2">
        <f>SUM(OSRRefH22_2x_0)</f>
        <v>4994.03</v>
      </c>
      <c r="I33" s="2"/>
      <c r="J33" s="6">
        <f t="shared" si="1"/>
        <v>0</v>
      </c>
      <c r="K33" s="2"/>
      <c r="L33" s="2">
        <f t="shared" si="2"/>
        <v>-2853.14</v>
      </c>
      <c r="M33" s="2"/>
      <c r="N33" s="6">
        <f t="shared" si="3"/>
        <v>-0.57131014431230887</v>
      </c>
      <c r="O33" s="14"/>
      <c r="P33" s="2">
        <f>SUM(OSRRefP22_2x_0)</f>
        <v>25999.56</v>
      </c>
      <c r="Q33" s="2"/>
      <c r="R33" s="6">
        <f t="shared" si="4"/>
        <v>0</v>
      </c>
      <c r="S33" s="2"/>
      <c r="T33" s="2">
        <f>SUM(OSRRefT22_2x_0)</f>
        <v>41522.76</v>
      </c>
      <c r="U33" s="2"/>
      <c r="V33" s="6">
        <f t="shared" si="5"/>
        <v>0</v>
      </c>
      <c r="W33" s="2"/>
      <c r="X33" s="2">
        <f t="shared" si="6"/>
        <v>-15523.2</v>
      </c>
      <c r="Y33" s="2"/>
      <c r="Z33" s="6">
        <f t="shared" si="7"/>
        <v>-0.37384798120356161</v>
      </c>
    </row>
    <row r="34" spans="1:26" s="69" customFormat="1" ht="15" hidden="1" customHeight="1" outlineLevel="2" x14ac:dyDescent="0.3">
      <c r="A34" s="26"/>
      <c r="B34" s="12" t="str">
        <f>CONCATENATE("          ","6322"," - ","EQUIPMENT DEPRECIATION EXPENSE")</f>
        <v xml:space="preserve">          6322 - EQUIPMENT DEPRECIATION EXPENSE</v>
      </c>
      <c r="C34" s="12"/>
      <c r="D34" s="8">
        <v>2140.89</v>
      </c>
      <c r="E34" s="3"/>
      <c r="F34" s="7">
        <f t="shared" si="0"/>
        <v>0</v>
      </c>
      <c r="G34" s="3"/>
      <c r="H34" s="8">
        <v>4994.03</v>
      </c>
      <c r="I34" s="3"/>
      <c r="J34" s="7">
        <f t="shared" si="1"/>
        <v>0</v>
      </c>
      <c r="K34" s="3"/>
      <c r="L34" s="8">
        <f t="shared" si="2"/>
        <v>-2853.14</v>
      </c>
      <c r="M34" s="3"/>
      <c r="N34" s="7">
        <f t="shared" si="3"/>
        <v>-0.57131014431230887</v>
      </c>
      <c r="O34" s="12"/>
      <c r="P34" s="8">
        <v>25999.56</v>
      </c>
      <c r="Q34" s="3"/>
      <c r="R34" s="7">
        <f t="shared" si="4"/>
        <v>0</v>
      </c>
      <c r="S34" s="3"/>
      <c r="T34" s="8">
        <v>41522.76</v>
      </c>
      <c r="U34" s="3"/>
      <c r="V34" s="7">
        <f t="shared" si="5"/>
        <v>0</v>
      </c>
      <c r="W34" s="3"/>
      <c r="X34" s="8">
        <f t="shared" si="6"/>
        <v>-15523.2</v>
      </c>
      <c r="Y34" s="3"/>
      <c r="Z34" s="7">
        <f t="shared" si="7"/>
        <v>-0.37384798120356161</v>
      </c>
    </row>
    <row r="35" spans="1:26" s="68" customFormat="1" ht="15" customHeight="1" outlineLevel="1" collapsed="1" x14ac:dyDescent="0.3">
      <c r="A35" s="25"/>
      <c r="B35" s="14" t="str">
        <f>CONCATENATE("     ","Freight out/Postage                               ")</f>
        <v xml:space="preserve">     Freight out/Postage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5.7</v>
      </c>
      <c r="U35" s="2"/>
      <c r="V35" s="6">
        <f t="shared" si="5"/>
        <v>0</v>
      </c>
      <c r="W35" s="2"/>
      <c r="X35" s="2">
        <f t="shared" si="6"/>
        <v>-5.7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","6307"," - ","POSTAGE")</f>
        <v xml:space="preserve">          6307 - POSTAGE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5.7</v>
      </c>
      <c r="U36" s="3"/>
      <c r="V36" s="7">
        <f t="shared" si="5"/>
        <v>0</v>
      </c>
      <c r="W36" s="3"/>
      <c r="X36" s="8">
        <f t="shared" si="6"/>
        <v>-5.7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","Insurance                                         ")</f>
        <v xml:space="preserve">     Insurance                                         </v>
      </c>
      <c r="C37" s="14"/>
      <c r="D37" s="2">
        <f>SUM(OSRRefD22_4x_0)</f>
        <v>76.569999999999993</v>
      </c>
      <c r="E37" s="2"/>
      <c r="F37" s="6">
        <f t="shared" si="0"/>
        <v>0</v>
      </c>
      <c r="G37" s="2"/>
      <c r="H37" s="2">
        <f>SUM(OSRRefH22_4x_0)</f>
        <v>56.34</v>
      </c>
      <c r="I37" s="2"/>
      <c r="J37" s="6">
        <f t="shared" si="1"/>
        <v>0</v>
      </c>
      <c r="K37" s="2"/>
      <c r="L37" s="2">
        <f t="shared" si="2"/>
        <v>20.22999999999999</v>
      </c>
      <c r="M37" s="2"/>
      <c r="N37" s="6">
        <f t="shared" si="3"/>
        <v>0.35906993255236047</v>
      </c>
      <c r="O37" s="14"/>
      <c r="P37" s="2">
        <f>SUM(OSRRefP22_4x_0)</f>
        <v>612.55999999999995</v>
      </c>
      <c r="Q37" s="2"/>
      <c r="R37" s="6">
        <f t="shared" si="4"/>
        <v>0</v>
      </c>
      <c r="S37" s="2"/>
      <c r="T37" s="2">
        <f>SUM(OSRRefT22_4x_0)</f>
        <v>450.72</v>
      </c>
      <c r="U37" s="2"/>
      <c r="V37" s="6">
        <f t="shared" si="5"/>
        <v>0</v>
      </c>
      <c r="W37" s="2"/>
      <c r="X37" s="2">
        <f t="shared" si="6"/>
        <v>161.83999999999992</v>
      </c>
      <c r="Y37" s="2"/>
      <c r="Z37" s="6">
        <f t="shared" si="7"/>
        <v>0.35906993255236047</v>
      </c>
    </row>
    <row r="38" spans="1:26" s="69" customFormat="1" ht="15" hidden="1" customHeight="1" outlineLevel="2" x14ac:dyDescent="0.3">
      <c r="A38" s="26"/>
      <c r="B38" s="12" t="str">
        <f>CONCATENATE("          ","6314"," - ","LIABILITY INSURANCE")</f>
        <v xml:space="preserve">          6314 - LIABILITY INSURANCE</v>
      </c>
      <c r="C38" s="12"/>
      <c r="D38" s="8">
        <v>76.569999999999993</v>
      </c>
      <c r="E38" s="3"/>
      <c r="F38" s="7">
        <f t="shared" si="0"/>
        <v>0</v>
      </c>
      <c r="G38" s="3"/>
      <c r="H38" s="8">
        <v>56.34</v>
      </c>
      <c r="I38" s="3"/>
      <c r="J38" s="7">
        <f t="shared" si="1"/>
        <v>0</v>
      </c>
      <c r="K38" s="3"/>
      <c r="L38" s="8">
        <f t="shared" si="2"/>
        <v>20.22999999999999</v>
      </c>
      <c r="M38" s="3"/>
      <c r="N38" s="7">
        <f t="shared" si="3"/>
        <v>0.35906993255236047</v>
      </c>
      <c r="O38" s="12"/>
      <c r="P38" s="8">
        <v>612.55999999999995</v>
      </c>
      <c r="Q38" s="3"/>
      <c r="R38" s="7">
        <f t="shared" si="4"/>
        <v>0</v>
      </c>
      <c r="S38" s="3"/>
      <c r="T38" s="8">
        <v>450.72</v>
      </c>
      <c r="U38" s="3"/>
      <c r="V38" s="7">
        <f t="shared" si="5"/>
        <v>0</v>
      </c>
      <c r="W38" s="3"/>
      <c r="X38" s="8">
        <f t="shared" si="6"/>
        <v>161.83999999999992</v>
      </c>
      <c r="Y38" s="3"/>
      <c r="Z38" s="7">
        <f t="shared" si="7"/>
        <v>0.35906993255236047</v>
      </c>
    </row>
    <row r="39" spans="1:26" s="68" customFormat="1" ht="15" customHeight="1" outlineLevel="1" collapsed="1" x14ac:dyDescent="0.3">
      <c r="A39" s="25"/>
      <c r="B39" s="14" t="str">
        <f>CONCATENATE("     ","Repair and Maintenance                            ")</f>
        <v xml:space="preserve">     Repair and Maintenance                            </v>
      </c>
      <c r="C39" s="14"/>
      <c r="D39" s="2">
        <f>SUM(OSRRefD22_5x_0)</f>
        <v>9666.8700000000008</v>
      </c>
      <c r="E39" s="2"/>
      <c r="F39" s="6">
        <f t="shared" si="0"/>
        <v>0</v>
      </c>
      <c r="G39" s="2"/>
      <c r="H39" s="2">
        <f>SUM(OSRRefH22_5x_0)</f>
        <v>14990.82</v>
      </c>
      <c r="I39" s="2"/>
      <c r="J39" s="6">
        <f t="shared" si="1"/>
        <v>0</v>
      </c>
      <c r="K39" s="2"/>
      <c r="L39" s="2">
        <f t="shared" si="2"/>
        <v>-5323.9499999999989</v>
      </c>
      <c r="M39" s="2"/>
      <c r="N39" s="6">
        <f t="shared" si="3"/>
        <v>-0.35514735017830906</v>
      </c>
      <c r="O39" s="14"/>
      <c r="P39" s="2">
        <f>SUM(OSRRefP22_5x_0)</f>
        <v>80259.05</v>
      </c>
      <c r="Q39" s="2"/>
      <c r="R39" s="6">
        <f t="shared" si="4"/>
        <v>0</v>
      </c>
      <c r="S39" s="2"/>
      <c r="T39" s="2">
        <f>SUM(OSRRefT22_5x_0)</f>
        <v>98150.98</v>
      </c>
      <c r="U39" s="2"/>
      <c r="V39" s="6">
        <f t="shared" si="5"/>
        <v>0</v>
      </c>
      <c r="W39" s="2"/>
      <c r="X39" s="2">
        <f t="shared" si="6"/>
        <v>-17891.929999999993</v>
      </c>
      <c r="Y39" s="2"/>
      <c r="Z39" s="6">
        <f t="shared" si="7"/>
        <v>-0.1822898762702114</v>
      </c>
    </row>
    <row r="40" spans="1:26" s="69" customFormat="1" ht="15" hidden="1" customHeight="1" outlineLevel="2" x14ac:dyDescent="0.3">
      <c r="A40" s="26"/>
      <c r="B40" s="12" t="str">
        <f>CONCATENATE("          ","6371"," - ","COMPUTER SOFTWARE MAINTENANCE")</f>
        <v xml:space="preserve">          6371 - COMPUTER SOFTWARE MAINTENANCE</v>
      </c>
      <c r="C40" s="12"/>
      <c r="D40" s="8">
        <v>200.87</v>
      </c>
      <c r="E40" s="3"/>
      <c r="F40" s="7">
        <f t="shared" si="0"/>
        <v>0</v>
      </c>
      <c r="G40" s="3"/>
      <c r="H40" s="8">
        <v>433.82</v>
      </c>
      <c r="I40" s="3"/>
      <c r="J40" s="7">
        <f t="shared" si="1"/>
        <v>0</v>
      </c>
      <c r="K40" s="3"/>
      <c r="L40" s="8">
        <f t="shared" si="2"/>
        <v>-232.95</v>
      </c>
      <c r="M40" s="3"/>
      <c r="N40" s="7">
        <f t="shared" si="3"/>
        <v>-0.53697386012631965</v>
      </c>
      <c r="O40" s="12"/>
      <c r="P40" s="8">
        <v>2093.8200000000002</v>
      </c>
      <c r="Q40" s="3"/>
      <c r="R40" s="7">
        <f t="shared" si="4"/>
        <v>0</v>
      </c>
      <c r="S40" s="3"/>
      <c r="T40" s="8">
        <v>849.98</v>
      </c>
      <c r="U40" s="3"/>
      <c r="V40" s="7">
        <f t="shared" si="5"/>
        <v>0</v>
      </c>
      <c r="W40" s="3"/>
      <c r="X40" s="8">
        <f t="shared" si="6"/>
        <v>1243.8400000000001</v>
      </c>
      <c r="Y40" s="3"/>
      <c r="Z40" s="7">
        <f t="shared" si="7"/>
        <v>1.4633756088378551</v>
      </c>
    </row>
    <row r="41" spans="1:26" s="69" customFormat="1" ht="15" hidden="1" customHeight="1" outlineLevel="2" x14ac:dyDescent="0.3">
      <c r="A41" s="26"/>
      <c r="B41" s="12" t="str">
        <f>CONCATENATE("          ","6372"," - ","COMPUTER HARDWARE MAINTENANCE")</f>
        <v xml:space="preserve">          6372 - COMPUTER HARDWARE MAINTENANCE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4760.47</v>
      </c>
      <c r="Q41" s="3"/>
      <c r="R41" s="7">
        <f t="shared" si="4"/>
        <v>0</v>
      </c>
      <c r="S41" s="3"/>
      <c r="T41" s="8"/>
      <c r="U41" s="3"/>
      <c r="V41" s="7">
        <f t="shared" si="5"/>
        <v>0</v>
      </c>
      <c r="W41" s="3"/>
      <c r="X41" s="8">
        <f t="shared" si="6"/>
        <v>4760.47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","6373"," - ","MAINTENANCE CONTRACTS")</f>
        <v xml:space="preserve">          6373 - MAINTENANCE CONTRACTS</v>
      </c>
      <c r="C42" s="12"/>
      <c r="D42" s="8">
        <v>9466</v>
      </c>
      <c r="E42" s="3"/>
      <c r="F42" s="7">
        <f t="shared" si="0"/>
        <v>0</v>
      </c>
      <c r="G42" s="3"/>
      <c r="H42" s="8">
        <v>14557</v>
      </c>
      <c r="I42" s="3"/>
      <c r="J42" s="7">
        <f t="shared" si="1"/>
        <v>0</v>
      </c>
      <c r="K42" s="3"/>
      <c r="L42" s="8">
        <f t="shared" si="2"/>
        <v>-5091</v>
      </c>
      <c r="M42" s="3"/>
      <c r="N42" s="7">
        <f t="shared" si="3"/>
        <v>-0.34972865288177507</v>
      </c>
      <c r="O42" s="12"/>
      <c r="P42" s="8">
        <v>73357.240000000005</v>
      </c>
      <c r="Q42" s="3"/>
      <c r="R42" s="7">
        <f t="shared" si="4"/>
        <v>0</v>
      </c>
      <c r="S42" s="3"/>
      <c r="T42" s="8">
        <v>97301</v>
      </c>
      <c r="U42" s="3"/>
      <c r="V42" s="7">
        <f t="shared" si="5"/>
        <v>0</v>
      </c>
      <c r="W42" s="3"/>
      <c r="X42" s="8">
        <f t="shared" si="6"/>
        <v>-23943.759999999995</v>
      </c>
      <c r="Y42" s="3"/>
      <c r="Z42" s="7">
        <f t="shared" si="7"/>
        <v>-0.2460792797607424</v>
      </c>
    </row>
    <row r="43" spans="1:26" s="69" customFormat="1" ht="15" hidden="1" customHeight="1" outlineLevel="2" x14ac:dyDescent="0.3">
      <c r="A43" s="26"/>
      <c r="B43" s="12" t="str">
        <f>CONCATENATE("          ","6375"," - ","OUTSIDE REPAIRS &amp; MAINTENANCE")</f>
        <v xml:space="preserve">          6375 - OUTSIDE REPAIRS &amp; MAINTENANCE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47.52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47.52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5"/>
      <c r="B44" s="14" t="str">
        <f>CONCATENATE("     ","Supplies                                          ")</f>
        <v xml:space="preserve">     Supplies                                          </v>
      </c>
      <c r="C44" s="14"/>
      <c r="D44" s="2">
        <f>SUM(OSRRefD22_6x_0)</f>
        <v>15484.97</v>
      </c>
      <c r="E44" s="2"/>
      <c r="F44" s="6">
        <f t="shared" si="0"/>
        <v>0</v>
      </c>
      <c r="G44" s="2"/>
      <c r="H44" s="2">
        <f>SUM(OSRRefH22_6x_0)</f>
        <v>646.02</v>
      </c>
      <c r="I44" s="2"/>
      <c r="J44" s="6">
        <f t="shared" si="1"/>
        <v>0</v>
      </c>
      <c r="K44" s="2"/>
      <c r="L44" s="2">
        <f t="shared" si="2"/>
        <v>14838.949999999999</v>
      </c>
      <c r="M44" s="2"/>
      <c r="N44" s="6">
        <f t="shared" si="3"/>
        <v>22.969799696603818</v>
      </c>
      <c r="O44" s="14"/>
      <c r="P44" s="2">
        <f>SUM(OSRRefP22_6x_0)</f>
        <v>19894.23</v>
      </c>
      <c r="Q44" s="2"/>
      <c r="R44" s="6">
        <f t="shared" si="4"/>
        <v>0</v>
      </c>
      <c r="S44" s="2"/>
      <c r="T44" s="2">
        <f>SUM(OSRRefT22_6x_0)</f>
        <v>-2179.5100000000002</v>
      </c>
      <c r="U44" s="2"/>
      <c r="V44" s="6">
        <f t="shared" si="5"/>
        <v>0</v>
      </c>
      <c r="W44" s="2"/>
      <c r="X44" s="2">
        <f t="shared" si="6"/>
        <v>22073.739999999998</v>
      </c>
      <c r="Y44" s="2"/>
      <c r="Z44" s="6">
        <f t="shared" si="7"/>
        <v>-10.127845249620325</v>
      </c>
    </row>
    <row r="45" spans="1:26" s="69" customFormat="1" ht="15" hidden="1" customHeight="1" outlineLevel="2" x14ac:dyDescent="0.3">
      <c r="A45" s="26"/>
      <c r="B45" s="12" t="str">
        <f>CONCATENATE("          ","6241"," - ","OFFICE EXPENSE")</f>
        <v xml:space="preserve">          6241 - OFFICE EXPENSE</v>
      </c>
      <c r="C45" s="12"/>
      <c r="D45" s="8">
        <v>15484.97</v>
      </c>
      <c r="E45" s="3"/>
      <c r="F45" s="7">
        <f t="shared" si="0"/>
        <v>0</v>
      </c>
      <c r="G45" s="3"/>
      <c r="H45" s="8">
        <v>646.02</v>
      </c>
      <c r="I45" s="3"/>
      <c r="J45" s="7">
        <f t="shared" si="1"/>
        <v>0</v>
      </c>
      <c r="K45" s="3"/>
      <c r="L45" s="8">
        <f t="shared" si="2"/>
        <v>14838.949999999999</v>
      </c>
      <c r="M45" s="3"/>
      <c r="N45" s="7">
        <f t="shared" si="3"/>
        <v>22.969799696603818</v>
      </c>
      <c r="O45" s="12"/>
      <c r="P45" s="8">
        <v>19894.23</v>
      </c>
      <c r="Q45" s="3"/>
      <c r="R45" s="7">
        <f t="shared" si="4"/>
        <v>0</v>
      </c>
      <c r="S45" s="3"/>
      <c r="T45" s="8">
        <v>-2179.5100000000002</v>
      </c>
      <c r="U45" s="3"/>
      <c r="V45" s="7">
        <f t="shared" si="5"/>
        <v>0</v>
      </c>
      <c r="W45" s="3"/>
      <c r="X45" s="8">
        <f t="shared" si="6"/>
        <v>22073.739999999998</v>
      </c>
      <c r="Y45" s="3"/>
      <c r="Z45" s="7">
        <f t="shared" si="7"/>
        <v>-10.127845249620325</v>
      </c>
    </row>
    <row r="46" spans="1:26" s="68" customFormat="1" ht="15" customHeight="1" outlineLevel="1" collapsed="1" x14ac:dyDescent="0.3">
      <c r="A46" s="25"/>
      <c r="B46" s="14" t="str">
        <f>CONCATENATE("     ","Telephone/Data Lines                              ")</f>
        <v xml:space="preserve">     Telephone/Data Lines                              </v>
      </c>
      <c r="C46" s="14"/>
      <c r="D46" s="2">
        <f>SUM(OSRRefD22_7x_0)</f>
        <v>925.22</v>
      </c>
      <c r="E46" s="2"/>
      <c r="F46" s="6">
        <f t="shared" si="0"/>
        <v>0</v>
      </c>
      <c r="G46" s="2"/>
      <c r="H46" s="2">
        <f>SUM(OSRRefH22_7x_0)</f>
        <v>520.39</v>
      </c>
      <c r="I46" s="2"/>
      <c r="J46" s="6">
        <f t="shared" si="1"/>
        <v>0</v>
      </c>
      <c r="K46" s="2"/>
      <c r="L46" s="2">
        <f t="shared" si="2"/>
        <v>404.83000000000004</v>
      </c>
      <c r="M46" s="2"/>
      <c r="N46" s="6">
        <f t="shared" si="3"/>
        <v>0.77793577893502963</v>
      </c>
      <c r="O46" s="14"/>
      <c r="P46" s="2">
        <f>SUM(OSRRefP22_7x_0)</f>
        <v>6670.9400000000005</v>
      </c>
      <c r="Q46" s="2"/>
      <c r="R46" s="6">
        <f t="shared" si="4"/>
        <v>0</v>
      </c>
      <c r="S46" s="2"/>
      <c r="T46" s="2">
        <f>SUM(OSRRefT22_7x_0)</f>
        <v>6233.07</v>
      </c>
      <c r="U46" s="2"/>
      <c r="V46" s="6">
        <f t="shared" si="5"/>
        <v>0</v>
      </c>
      <c r="W46" s="2"/>
      <c r="X46" s="2">
        <f t="shared" si="6"/>
        <v>437.8700000000008</v>
      </c>
      <c r="Y46" s="2"/>
      <c r="Z46" s="6">
        <f t="shared" si="7"/>
        <v>7.0249491823451499E-2</v>
      </c>
    </row>
    <row r="47" spans="1:26" s="69" customFormat="1" ht="15" hidden="1" customHeight="1" outlineLevel="2" x14ac:dyDescent="0.3">
      <c r="A47" s="26"/>
      <c r="B47" s="12" t="str">
        <f>CONCATENATE("          ","6303"," - ","DATA PHONE LINES")</f>
        <v xml:space="preserve">          6303 - DATA PHONE LINES</v>
      </c>
      <c r="C47" s="12"/>
      <c r="D47" s="8">
        <v>260.97000000000003</v>
      </c>
      <c r="E47" s="3"/>
      <c r="F47" s="7">
        <f t="shared" si="0"/>
        <v>0</v>
      </c>
      <c r="G47" s="3"/>
      <c r="H47" s="8">
        <v>78.989999999999995</v>
      </c>
      <c r="I47" s="3"/>
      <c r="J47" s="7">
        <f t="shared" si="1"/>
        <v>0</v>
      </c>
      <c r="K47" s="3"/>
      <c r="L47" s="8">
        <f t="shared" si="2"/>
        <v>181.98000000000002</v>
      </c>
      <c r="M47" s="3"/>
      <c r="N47" s="7">
        <f t="shared" si="3"/>
        <v>2.303835928598557</v>
      </c>
      <c r="O47" s="12"/>
      <c r="P47" s="8">
        <v>1342.84</v>
      </c>
      <c r="Q47" s="3"/>
      <c r="R47" s="7">
        <f t="shared" si="4"/>
        <v>0</v>
      </c>
      <c r="S47" s="3"/>
      <c r="T47" s="8">
        <v>1002.87</v>
      </c>
      <c r="U47" s="3"/>
      <c r="V47" s="7">
        <f t="shared" si="5"/>
        <v>0</v>
      </c>
      <c r="W47" s="3"/>
      <c r="X47" s="8">
        <f t="shared" si="6"/>
        <v>339.96999999999991</v>
      </c>
      <c r="Y47" s="3"/>
      <c r="Z47" s="7">
        <f t="shared" si="7"/>
        <v>0.33899707838503484</v>
      </c>
    </row>
    <row r="48" spans="1:26" s="69" customFormat="1" ht="15" hidden="1" customHeight="1" outlineLevel="2" x14ac:dyDescent="0.3">
      <c r="A48" s="26"/>
      <c r="B48" s="12" t="str">
        <f>CONCATENATE("          ","6309"," - ","TELEPHONE")</f>
        <v xml:space="preserve">          6309 - TELEPHONE</v>
      </c>
      <c r="C48" s="12"/>
      <c r="D48" s="8">
        <v>664.25</v>
      </c>
      <c r="E48" s="3"/>
      <c r="F48" s="7">
        <f t="shared" si="0"/>
        <v>0</v>
      </c>
      <c r="G48" s="3"/>
      <c r="H48" s="8">
        <v>441.4</v>
      </c>
      <c r="I48" s="3"/>
      <c r="J48" s="7">
        <f t="shared" si="1"/>
        <v>0</v>
      </c>
      <c r="K48" s="3"/>
      <c r="L48" s="8">
        <f t="shared" si="2"/>
        <v>222.85000000000002</v>
      </c>
      <c r="M48" s="3"/>
      <c r="N48" s="7">
        <f t="shared" si="3"/>
        <v>0.50487086542818316</v>
      </c>
      <c r="O48" s="12"/>
      <c r="P48" s="8">
        <v>5328.1</v>
      </c>
      <c r="Q48" s="3"/>
      <c r="R48" s="7">
        <f t="shared" si="4"/>
        <v>0</v>
      </c>
      <c r="S48" s="3"/>
      <c r="T48" s="8">
        <v>5230.2</v>
      </c>
      <c r="U48" s="3"/>
      <c r="V48" s="7">
        <f t="shared" si="5"/>
        <v>0</v>
      </c>
      <c r="W48" s="3"/>
      <c r="X48" s="8">
        <f t="shared" si="6"/>
        <v>97.900000000000546</v>
      </c>
      <c r="Y48" s="3"/>
      <c r="Z48" s="7">
        <f t="shared" si="7"/>
        <v>1.8718213452640541E-2</v>
      </c>
    </row>
    <row r="49" spans="1:26" s="68" customFormat="1" ht="15" customHeight="1" outlineLevel="1" collapsed="1" x14ac:dyDescent="0.3">
      <c r="A49" s="25"/>
      <c r="B49" s="14" t="str">
        <f>CONCATENATE("     ","Training                                          ")</f>
        <v xml:space="preserve">     Training                                          </v>
      </c>
      <c r="C49" s="14"/>
      <c r="D49" s="2">
        <f>SUM(OSRRefD22_8x_0)</f>
        <v>0</v>
      </c>
      <c r="E49" s="2"/>
      <c r="F49" s="6">
        <f t="shared" si="0"/>
        <v>0</v>
      </c>
      <c r="G49" s="2"/>
      <c r="H49" s="2">
        <f>SUM(OSRRefH22_8x_0)</f>
        <v>0</v>
      </c>
      <c r="I49" s="2"/>
      <c r="J49" s="6">
        <f t="shared" si="1"/>
        <v>0</v>
      </c>
      <c r="K49" s="2"/>
      <c r="L49" s="2">
        <f t="shared" si="2"/>
        <v>0</v>
      </c>
      <c r="M49" s="2"/>
      <c r="N49" s="6">
        <f t="shared" si="3"/>
        <v>0</v>
      </c>
      <c r="O49" s="14"/>
      <c r="P49" s="2">
        <f>SUM(OSRRefP22_8x_0)</f>
        <v>99</v>
      </c>
      <c r="Q49" s="2"/>
      <c r="R49" s="6">
        <f t="shared" si="4"/>
        <v>0</v>
      </c>
      <c r="S49" s="2"/>
      <c r="T49" s="2">
        <f>SUM(OSRRefT22_8x_0)</f>
        <v>99</v>
      </c>
      <c r="U49" s="2"/>
      <c r="V49" s="6">
        <f t="shared" si="5"/>
        <v>0</v>
      </c>
      <c r="W49" s="2"/>
      <c r="X49" s="2">
        <f t="shared" si="6"/>
        <v>0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","6376"," - ","TRAINING")</f>
        <v xml:space="preserve">          6376 - TRAINING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99</v>
      </c>
      <c r="Q50" s="3"/>
      <c r="R50" s="7">
        <f t="shared" si="4"/>
        <v>0</v>
      </c>
      <c r="S50" s="3"/>
      <c r="T50" s="8">
        <v>99</v>
      </c>
      <c r="U50" s="3"/>
      <c r="V50" s="7">
        <f t="shared" si="5"/>
        <v>0</v>
      </c>
      <c r="W50" s="3"/>
      <c r="X50" s="8">
        <f t="shared" si="6"/>
        <v>0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5"/>
      <c r="B51" s="14" t="str">
        <f>CONCATENATE("     ","Travel                                            ")</f>
        <v xml:space="preserve">     Travel                                            </v>
      </c>
      <c r="C51" s="14"/>
      <c r="D51" s="2">
        <f>SUM(OSRRefD22_9x_0)</f>
        <v>0</v>
      </c>
      <c r="E51" s="2"/>
      <c r="F51" s="6">
        <f t="shared" si="0"/>
        <v>0</v>
      </c>
      <c r="G51" s="2"/>
      <c r="H51" s="2">
        <f>SUM(OSRRefH22_9x_0)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SUM(OSRRefP22_9x_0)</f>
        <v>0</v>
      </c>
      <c r="Q51" s="2"/>
      <c r="R51" s="6">
        <f t="shared" si="4"/>
        <v>0</v>
      </c>
      <c r="S51" s="2"/>
      <c r="T51" s="2">
        <f>SUM(OSRRefT22_9x_0)</f>
        <v>0</v>
      </c>
      <c r="U51" s="2"/>
      <c r="V51" s="6">
        <f t="shared" si="5"/>
        <v>0</v>
      </c>
      <c r="W51" s="2"/>
      <c r="X51" s="2">
        <f t="shared" si="6"/>
        <v>0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","6292"," - ","TRAVEL/CONFERENCE")</f>
        <v xml:space="preserve">          6292 - TRAVEL/CONFERENCE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0</v>
      </c>
      <c r="Q52" s="3"/>
      <c r="R52" s="7">
        <f t="shared" si="4"/>
        <v>0</v>
      </c>
      <c r="S52" s="3"/>
      <c r="T52" s="8"/>
      <c r="U52" s="3"/>
      <c r="V52" s="7">
        <f t="shared" si="5"/>
        <v>0</v>
      </c>
      <c r="W52" s="3"/>
      <c r="X52" s="8">
        <f t="shared" si="6"/>
        <v>0</v>
      </c>
      <c r="Y52" s="3"/>
      <c r="Z52" s="7">
        <f t="shared" si="7"/>
        <v>0</v>
      </c>
    </row>
    <row r="53" spans="1:26" s="64" customFormat="1" ht="15" customHeight="1" x14ac:dyDescent="0.3">
      <c r="A53" s="36"/>
      <c r="B53" s="36"/>
      <c r="C53" s="36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3">
      <c r="A54" s="11"/>
      <c r="B54" s="27" t="s">
        <v>290</v>
      </c>
      <c r="C54" s="11"/>
      <c r="D54" s="5">
        <f>SUM(0)</f>
        <v>0</v>
      </c>
      <c r="E54" s="5"/>
      <c r="F54" s="13">
        <f>IF(D$12=0,0,D54/D$12)</f>
        <v>0</v>
      </c>
      <c r="G54" s="5"/>
      <c r="H54" s="5">
        <f>SUM(0)</f>
        <v>0</v>
      </c>
      <c r="I54" s="5"/>
      <c r="J54" s="13">
        <f>IF(H$12=0,0,H54/H$12)</f>
        <v>0</v>
      </c>
      <c r="K54" s="5"/>
      <c r="L54" s="5">
        <f>+D54-H54</f>
        <v>0</v>
      </c>
      <c r="M54" s="5"/>
      <c r="N54" s="13">
        <f>IF(H54=0,0,L54/H54)</f>
        <v>0</v>
      </c>
      <c r="O54" s="11"/>
      <c r="P54" s="5">
        <f>SUM(0)</f>
        <v>0</v>
      </c>
      <c r="Q54" s="5"/>
      <c r="R54" s="13">
        <f>IF(P$12=0,0,P54/P$12)</f>
        <v>0</v>
      </c>
      <c r="S54" s="5"/>
      <c r="T54" s="5">
        <f>SUM(0)</f>
        <v>0</v>
      </c>
      <c r="U54" s="5"/>
      <c r="V54" s="13">
        <f>IF(T$12=0,0,T54/T$12)</f>
        <v>0</v>
      </c>
      <c r="W54" s="5"/>
      <c r="X54" s="5">
        <f>+P54-T54</f>
        <v>0</v>
      </c>
      <c r="Y54" s="5"/>
      <c r="Z54" s="13">
        <f>IF(T54=0,0,X54/T54)</f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x14ac:dyDescent="0.3">
      <c r="A56" s="11"/>
      <c r="B56" s="28" t="s">
        <v>291</v>
      </c>
      <c r="C56" s="28"/>
      <c r="D56" s="23">
        <f>+D16-D18+D54</f>
        <v>-57203.45</v>
      </c>
      <c r="E56" s="15"/>
      <c r="F56" s="22">
        <f>IF(D$12=0,0,D56/D$12)</f>
        <v>0</v>
      </c>
      <c r="G56" s="15"/>
      <c r="H56" s="23">
        <f>+H16-H18+H54</f>
        <v>-48909.27</v>
      </c>
      <c r="I56" s="15"/>
      <c r="J56" s="22">
        <f>IF(H$12=0,0,H56/H$12)</f>
        <v>0</v>
      </c>
      <c r="K56" s="17"/>
      <c r="L56" s="23">
        <f>+D56-H56</f>
        <v>-8294.18</v>
      </c>
      <c r="M56" s="17"/>
      <c r="N56" s="22">
        <f>IF(H56=0,0,L56/H56)</f>
        <v>0.16958298498423716</v>
      </c>
      <c r="O56" s="27"/>
      <c r="P56" s="23">
        <f>+P16-P18+P54</f>
        <v>-375930.83999999997</v>
      </c>
      <c r="Q56" s="15"/>
      <c r="R56" s="22">
        <f>IF(P$12=0,0,P56/P$12)</f>
        <v>0</v>
      </c>
      <c r="S56" s="15"/>
      <c r="T56" s="23">
        <f>+T16-T18+T54</f>
        <v>-406084.63999999996</v>
      </c>
      <c r="U56" s="15"/>
      <c r="V56" s="22">
        <f>IF(T$12=0,0,T56/T$12)</f>
        <v>0</v>
      </c>
      <c r="W56" s="17"/>
      <c r="X56" s="23">
        <f>+P56-T56</f>
        <v>30153.799999999988</v>
      </c>
      <c r="Y56" s="17"/>
      <c r="Z56" s="22">
        <f>IF(T56=0,0,X56/T56)</f>
        <v>-7.4254963201760088E-2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3">
      <c r="A58" s="48"/>
      <c r="B58" s="11" t="s">
        <v>292</v>
      </c>
      <c r="C58" s="11"/>
      <c r="D58" s="5"/>
      <c r="E58" s="5"/>
      <c r="F58" s="13">
        <f>IF(D$12=0,0,D58/D$12)</f>
        <v>0</v>
      </c>
      <c r="G58" s="5"/>
      <c r="H58" s="5"/>
      <c r="I58" s="5"/>
      <c r="J58" s="13">
        <f>IF(H$12=0,0,H58/H$12)</f>
        <v>0</v>
      </c>
      <c r="K58" s="5"/>
      <c r="L58" s="5">
        <f>+D58-H58</f>
        <v>0</v>
      </c>
      <c r="M58" s="5"/>
      <c r="N58" s="13">
        <f>IF(H58=0,0,L58/H58)</f>
        <v>0</v>
      </c>
      <c r="O58" s="11"/>
      <c r="P58" s="5"/>
      <c r="Q58" s="5"/>
      <c r="R58" s="13">
        <f>IF(P$12=0,0,P58/P$12)</f>
        <v>0</v>
      </c>
      <c r="S58" s="5"/>
      <c r="T58" s="5"/>
      <c r="U58" s="5"/>
      <c r="V58" s="13">
        <f>IF(T$12=0,0,T58/T$12)</f>
        <v>0</v>
      </c>
      <c r="W58" s="5"/>
      <c r="X58" s="5">
        <f>+P58-T58</f>
        <v>0</v>
      </c>
      <c r="Y58" s="5"/>
      <c r="Z58" s="13">
        <f>IF(T58=0,0,X58/T58)</f>
        <v>0</v>
      </c>
    </row>
    <row r="59" spans="1:26" ht="15" customHeight="1" x14ac:dyDescent="0.3">
      <c r="A59" s="10"/>
      <c r="B59" s="11"/>
      <c r="C59" s="11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O59" s="11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2" customFormat="1" ht="15" customHeight="1" x14ac:dyDescent="0.3">
      <c r="A60" s="11"/>
      <c r="B60" s="28" t="s">
        <v>293</v>
      </c>
      <c r="C60" s="28"/>
      <c r="D60" s="33">
        <f>+D56-D58</f>
        <v>-57203.45</v>
      </c>
      <c r="E60" s="15"/>
      <c r="F60" s="34">
        <f>IF(D$12=0,0,D60/D$12)</f>
        <v>0</v>
      </c>
      <c r="G60" s="15"/>
      <c r="H60" s="33">
        <f>+H56-H58</f>
        <v>-48909.27</v>
      </c>
      <c r="I60" s="15"/>
      <c r="J60" s="34">
        <f>IF(H$12=0,0,H60/H$12)</f>
        <v>0</v>
      </c>
      <c r="K60" s="17"/>
      <c r="L60" s="33">
        <f>D60-H60</f>
        <v>-8294.18</v>
      </c>
      <c r="M60" s="17"/>
      <c r="N60" s="34">
        <f>IF(H60=0,0,L60/H60)</f>
        <v>0.16958298498423716</v>
      </c>
      <c r="O60" s="27"/>
      <c r="P60" s="33">
        <f>+P56-P58</f>
        <v>-375930.83999999997</v>
      </c>
      <c r="Q60" s="15"/>
      <c r="R60" s="34">
        <f>IF(P$12=0,0,P60/P$12)</f>
        <v>0</v>
      </c>
      <c r="S60" s="15"/>
      <c r="T60" s="33">
        <f>+T56-T58</f>
        <v>-406084.63999999996</v>
      </c>
      <c r="U60" s="15"/>
      <c r="V60" s="34">
        <f>IF(T$12=0,0,T60/T$12)</f>
        <v>0</v>
      </c>
      <c r="W60" s="17"/>
      <c r="X60" s="33">
        <f>P60-T60</f>
        <v>30153.799999999988</v>
      </c>
      <c r="Y60" s="17"/>
      <c r="Z60" s="34">
        <f>IF(T60=0,0,X60/T60)</f>
        <v>-7.4254963201760088E-2</v>
      </c>
    </row>
    <row r="61" spans="1:26" ht="15" customHeight="1" x14ac:dyDescent="0.3">
      <c r="A61" s="10"/>
      <c r="B61" s="10"/>
      <c r="C61" s="10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8" t="s">
        <v>296</v>
      </c>
      <c r="C63" s="28"/>
      <c r="D63" s="35">
        <f>SUM(D60:D62)</f>
        <v>-57203.45</v>
      </c>
      <c r="E63" s="15"/>
      <c r="F63" s="29">
        <f>IF(D$12=0,0,D63/D$12)</f>
        <v>0</v>
      </c>
      <c r="G63" s="15"/>
      <c r="H63" s="35">
        <f>SUM(H60:H62)</f>
        <v>-48909.27</v>
      </c>
      <c r="I63" s="15"/>
      <c r="J63" s="29">
        <f>IF(H$12=0,0,H63/H$12)</f>
        <v>0</v>
      </c>
      <c r="K63" s="17"/>
      <c r="L63" s="35">
        <f>+D63-H63</f>
        <v>-8294.18</v>
      </c>
      <c r="M63" s="17"/>
      <c r="N63" s="29">
        <f>IF(H63=0,0,L63/H63)</f>
        <v>0.16958298498423716</v>
      </c>
      <c r="O63" s="27"/>
      <c r="P63" s="35">
        <f>SUM(P60:P62)</f>
        <v>-375930.83999999997</v>
      </c>
      <c r="Q63" s="15"/>
      <c r="R63" s="29">
        <f>IF(P$12=0,0,P63/P$12)</f>
        <v>0</v>
      </c>
      <c r="S63" s="15"/>
      <c r="T63" s="35">
        <f>SUM(T60:T62)</f>
        <v>-406084.63999999996</v>
      </c>
      <c r="U63" s="15"/>
      <c r="V63" s="29">
        <f>IF(T$12=0,0,T63/T$12)</f>
        <v>0</v>
      </c>
      <c r="W63" s="17"/>
      <c r="X63" s="35">
        <f>+P63-T63</f>
        <v>30153.799999999988</v>
      </c>
      <c r="Y63" s="17"/>
      <c r="Z63" s="29">
        <f>IF(T63=0,0,X63/T63)</f>
        <v>-7.4254963201760088E-2</v>
      </c>
    </row>
    <row r="64" spans="1:26" ht="15" customHeight="1" x14ac:dyDescent="0.3">
      <c r="A64" s="10"/>
      <c r="C64" s="10"/>
      <c r="D64" s="18"/>
      <c r="E64" s="18"/>
      <c r="G64" s="18"/>
      <c r="H64" s="18"/>
      <c r="I64" s="18"/>
      <c r="J64" s="41"/>
      <c r="K64" s="18"/>
      <c r="L64" s="18"/>
      <c r="M64" s="18"/>
      <c r="P64" s="18"/>
      <c r="Q64" s="18"/>
      <c r="R64" s="41"/>
      <c r="S64" s="18"/>
      <c r="T64" s="18"/>
      <c r="U64" s="18"/>
      <c r="V64" s="41"/>
      <c r="W64" s="18"/>
      <c r="X64" s="18"/>
    </row>
    <row r="65" spans="1:24" ht="15" customHeight="1" x14ac:dyDescent="0.3">
      <c r="A65" s="10"/>
      <c r="B65" s="50">
        <v>44634.887810300927</v>
      </c>
      <c r="D65" s="18"/>
      <c r="E65" s="18"/>
      <c r="G65" s="18"/>
      <c r="H65" s="18"/>
      <c r="I65" s="18"/>
      <c r="J65" s="41"/>
      <c r="K65" s="18"/>
      <c r="L65" s="18"/>
      <c r="M65" s="18"/>
      <c r="P65" s="18"/>
      <c r="Q65" s="18"/>
      <c r="R65" s="41"/>
      <c r="S65" s="18"/>
      <c r="T65" s="18"/>
      <c r="U65" s="18"/>
      <c r="V65" s="41"/>
      <c r="W65" s="18"/>
      <c r="X65" s="18"/>
    </row>
    <row r="66" spans="1:24" ht="15" customHeight="1" x14ac:dyDescent="0.3">
      <c r="A66" s="10"/>
      <c r="B66" s="58" t="s">
        <v>297</v>
      </c>
      <c r="D66" s="18"/>
      <c r="E66" s="18"/>
      <c r="G66" s="18"/>
      <c r="H66" s="18"/>
      <c r="I66" s="18"/>
      <c r="J66" s="41"/>
      <c r="K66" s="18"/>
      <c r="L66" s="18"/>
      <c r="M66" s="18"/>
      <c r="P66" s="18"/>
      <c r="Q66" s="18"/>
      <c r="R66" s="41"/>
      <c r="S66" s="18"/>
      <c r="T66" s="18"/>
      <c r="U66" s="18"/>
      <c r="V66" s="41"/>
      <c r="W66" s="18"/>
      <c r="X66" s="18"/>
    </row>
    <row r="67" spans="1:24" ht="15" customHeight="1" x14ac:dyDescent="0.3">
      <c r="A67" s="10"/>
      <c r="B67" s="56"/>
      <c r="D67" s="18"/>
      <c r="E67" s="18"/>
      <c r="G67" s="18"/>
      <c r="H67" s="18"/>
      <c r="I67" s="18"/>
      <c r="J67" s="41"/>
      <c r="K67" s="18"/>
      <c r="L67" s="18"/>
      <c r="M67" s="18"/>
      <c r="P67" s="18"/>
      <c r="Q67" s="18"/>
      <c r="R67" s="41"/>
      <c r="S67" s="18"/>
      <c r="T67" s="18"/>
      <c r="U67" s="18"/>
      <c r="V67" s="41"/>
      <c r="W67" s="18"/>
      <c r="X67" s="18"/>
    </row>
    <row r="68" spans="1:24" ht="15" customHeight="1" x14ac:dyDescent="0.3">
      <c r="D68" s="18"/>
      <c r="E68" s="18"/>
      <c r="G68" s="18"/>
      <c r="H68" s="18"/>
      <c r="I68" s="18"/>
      <c r="J68" s="41"/>
      <c r="K68" s="18"/>
      <c r="L68" s="18"/>
      <c r="M68" s="18"/>
      <c r="P68" s="18"/>
      <c r="Q68" s="18"/>
      <c r="R68" s="41"/>
      <c r="S68" s="18"/>
      <c r="T68" s="18"/>
      <c r="U68" s="18"/>
      <c r="V68" s="41"/>
      <c r="W68" s="18"/>
      <c r="X68" s="18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F020B-0382-6953-A8BB-CD90EA5944B7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","205"," - ","Maintenance")</f>
        <v>Department 205 - Maintenance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7873.39</v>
      </c>
      <c r="E18" s="21"/>
      <c r="F18" s="30">
        <f t="shared" ref="F18:F42" si="0">IF(D$12=0,0,D18/D$12)</f>
        <v>0</v>
      </c>
      <c r="G18" s="21"/>
      <c r="H18" s="21" cm="1">
        <f t="array" ref="H18">SUM(OSRRefH22x_0)</f>
        <v>6657.22</v>
      </c>
      <c r="I18" s="21"/>
      <c r="J18" s="30">
        <f t="shared" ref="J18:J42" si="1">IF(H$12=0,0,H18/H$12)</f>
        <v>0</v>
      </c>
      <c r="K18" s="5"/>
      <c r="L18" s="21">
        <f t="shared" ref="L18:L42" si="2">+D18-H18</f>
        <v>1216.17</v>
      </c>
      <c r="M18" s="5"/>
      <c r="N18" s="30">
        <f t="shared" ref="N18:N42" si="3">IF(H18=0,0,L18/H18)</f>
        <v>0.18268436374342445</v>
      </c>
      <c r="O18" s="11"/>
      <c r="P18" s="21" cm="1">
        <f t="array" ref="P18">SUM(OSRRefP22x_0)</f>
        <v>66464.25</v>
      </c>
      <c r="Q18" s="21"/>
      <c r="R18" s="30">
        <f t="shared" ref="R18:R42" si="4">IF(P$12=0,0,P18/P$12)</f>
        <v>0</v>
      </c>
      <c r="S18" s="21"/>
      <c r="T18" s="21" cm="1">
        <f t="array" ref="T18">SUM(OSRRefT22x_0)</f>
        <v>62446.820000000007</v>
      </c>
      <c r="U18" s="21"/>
      <c r="V18" s="30">
        <f t="shared" ref="V18:V42" si="5">IF(T$12=0,0,T18/T$12)</f>
        <v>0</v>
      </c>
      <c r="W18" s="5"/>
      <c r="X18" s="21">
        <f t="shared" ref="X18:X42" si="6">+P18-T18</f>
        <v>4017.429999999993</v>
      </c>
      <c r="Y18" s="5"/>
      <c r="Z18" s="30">
        <f t="shared" ref="Z18:Z42" si="7">IF(T18=0,0,X18/T18)</f>
        <v>6.4333620190747787E-2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2577.7200000000003</v>
      </c>
      <c r="E19" s="2"/>
      <c r="F19" s="6">
        <f t="shared" si="0"/>
        <v>0</v>
      </c>
      <c r="G19" s="2"/>
      <c r="H19" s="2">
        <f>SUM(OSRRefH22_0x_0)</f>
        <v>2490.0799999999995</v>
      </c>
      <c r="I19" s="2"/>
      <c r="J19" s="6">
        <f t="shared" si="1"/>
        <v>0</v>
      </c>
      <c r="K19" s="2"/>
      <c r="L19" s="2">
        <f t="shared" si="2"/>
        <v>87.640000000000782</v>
      </c>
      <c r="M19" s="2"/>
      <c r="N19" s="6">
        <f t="shared" si="3"/>
        <v>3.5195656364454472E-2</v>
      </c>
      <c r="O19" s="14"/>
      <c r="P19" s="2">
        <f>SUM(OSRRefP22_0x_0)</f>
        <v>21574.81</v>
      </c>
      <c r="Q19" s="2"/>
      <c r="R19" s="6">
        <f t="shared" si="4"/>
        <v>0</v>
      </c>
      <c r="S19" s="2"/>
      <c r="T19" s="2">
        <f>SUM(OSRRefT22_0x_0)</f>
        <v>19909.09</v>
      </c>
      <c r="U19" s="2"/>
      <c r="V19" s="6">
        <f t="shared" si="5"/>
        <v>0</v>
      </c>
      <c r="W19" s="2"/>
      <c r="X19" s="2">
        <f t="shared" si="6"/>
        <v>1665.7200000000012</v>
      </c>
      <c r="Y19" s="2"/>
      <c r="Z19" s="6">
        <f t="shared" si="7"/>
        <v>8.3666305190242304E-2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343.94</v>
      </c>
      <c r="E20" s="3"/>
      <c r="F20" s="7">
        <f t="shared" si="0"/>
        <v>0</v>
      </c>
      <c r="G20" s="3"/>
      <c r="H20" s="8">
        <v>322.3</v>
      </c>
      <c r="I20" s="3"/>
      <c r="J20" s="7">
        <f t="shared" si="1"/>
        <v>0</v>
      </c>
      <c r="K20" s="3"/>
      <c r="L20" s="8">
        <f t="shared" si="2"/>
        <v>21.639999999999986</v>
      </c>
      <c r="M20" s="3"/>
      <c r="N20" s="7">
        <f t="shared" si="3"/>
        <v>6.714241390009304E-2</v>
      </c>
      <c r="O20" s="12"/>
      <c r="P20" s="8">
        <v>2835.48</v>
      </c>
      <c r="Q20" s="3"/>
      <c r="R20" s="7">
        <f t="shared" si="4"/>
        <v>0</v>
      </c>
      <c r="S20" s="3"/>
      <c r="T20" s="8">
        <v>2704.06</v>
      </c>
      <c r="U20" s="3"/>
      <c r="V20" s="7">
        <f t="shared" si="5"/>
        <v>0</v>
      </c>
      <c r="W20" s="3"/>
      <c r="X20" s="8">
        <f t="shared" si="6"/>
        <v>131.42000000000007</v>
      </c>
      <c r="Y20" s="3"/>
      <c r="Z20" s="7">
        <f t="shared" si="7"/>
        <v>4.8600992581525587E-2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247.65</v>
      </c>
      <c r="E21" s="3"/>
      <c r="F21" s="7">
        <f t="shared" si="0"/>
        <v>0</v>
      </c>
      <c r="G21" s="3"/>
      <c r="H21" s="8">
        <v>291.97000000000003</v>
      </c>
      <c r="I21" s="3"/>
      <c r="J21" s="7">
        <f t="shared" si="1"/>
        <v>0</v>
      </c>
      <c r="K21" s="3"/>
      <c r="L21" s="8">
        <f t="shared" si="2"/>
        <v>-44.320000000000022</v>
      </c>
      <c r="M21" s="3"/>
      <c r="N21" s="7">
        <f t="shared" si="3"/>
        <v>-0.15179641744014802</v>
      </c>
      <c r="O21" s="12"/>
      <c r="P21" s="8">
        <v>2040.31</v>
      </c>
      <c r="Q21" s="3"/>
      <c r="R21" s="7">
        <f t="shared" si="4"/>
        <v>0</v>
      </c>
      <c r="S21" s="3"/>
      <c r="T21" s="8">
        <v>2448.6999999999998</v>
      </c>
      <c r="U21" s="3"/>
      <c r="V21" s="7">
        <f t="shared" si="5"/>
        <v>0</v>
      </c>
      <c r="W21" s="3"/>
      <c r="X21" s="8">
        <f t="shared" si="6"/>
        <v>-408.38999999999987</v>
      </c>
      <c r="Y21" s="3"/>
      <c r="Z21" s="7">
        <f t="shared" si="7"/>
        <v>-0.16677829052150117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694.36</v>
      </c>
      <c r="E22" s="3"/>
      <c r="F22" s="7">
        <f t="shared" si="0"/>
        <v>0</v>
      </c>
      <c r="G22" s="3"/>
      <c r="H22" s="8">
        <v>699.91</v>
      </c>
      <c r="I22" s="3"/>
      <c r="J22" s="7">
        <f t="shared" si="1"/>
        <v>0</v>
      </c>
      <c r="K22" s="3"/>
      <c r="L22" s="8">
        <f t="shared" si="2"/>
        <v>-5.5499999999999545</v>
      </c>
      <c r="M22" s="3"/>
      <c r="N22" s="7">
        <f t="shared" si="3"/>
        <v>-7.92959094740746E-3</v>
      </c>
      <c r="O22" s="12"/>
      <c r="P22" s="8">
        <v>5576.93</v>
      </c>
      <c r="Q22" s="3"/>
      <c r="R22" s="7">
        <f t="shared" si="4"/>
        <v>0</v>
      </c>
      <c r="S22" s="3"/>
      <c r="T22" s="8">
        <v>5576.78</v>
      </c>
      <c r="U22" s="3"/>
      <c r="V22" s="7">
        <f t="shared" si="5"/>
        <v>0</v>
      </c>
      <c r="W22" s="3"/>
      <c r="X22" s="8">
        <f t="shared" si="6"/>
        <v>0.1500000000005457</v>
      </c>
      <c r="Y22" s="3"/>
      <c r="Z22" s="7">
        <f t="shared" si="7"/>
        <v>2.6897241777611041E-5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11.64</v>
      </c>
      <c r="E23" s="3"/>
      <c r="F23" s="7">
        <f t="shared" si="0"/>
        <v>0</v>
      </c>
      <c r="G23" s="3"/>
      <c r="H23" s="8">
        <v>10.95</v>
      </c>
      <c r="I23" s="3"/>
      <c r="J23" s="7">
        <f t="shared" si="1"/>
        <v>0</v>
      </c>
      <c r="K23" s="3"/>
      <c r="L23" s="8">
        <f t="shared" si="2"/>
        <v>0.69000000000000128</v>
      </c>
      <c r="M23" s="3"/>
      <c r="N23" s="7">
        <f t="shared" si="3"/>
        <v>6.3013698630137102E-2</v>
      </c>
      <c r="O23" s="12"/>
      <c r="P23" s="8">
        <v>95.92</v>
      </c>
      <c r="Q23" s="3"/>
      <c r="R23" s="7">
        <f t="shared" si="4"/>
        <v>0</v>
      </c>
      <c r="S23" s="3"/>
      <c r="T23" s="8">
        <v>91.88</v>
      </c>
      <c r="U23" s="3"/>
      <c r="V23" s="7">
        <f t="shared" si="5"/>
        <v>0</v>
      </c>
      <c r="W23" s="3"/>
      <c r="X23" s="8">
        <f t="shared" si="6"/>
        <v>4.0400000000000063</v>
      </c>
      <c r="Y23" s="3"/>
      <c r="Z23" s="7">
        <f t="shared" si="7"/>
        <v>4.397039616891605E-2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475.21</v>
      </c>
      <c r="E24" s="3"/>
      <c r="F24" s="7">
        <f t="shared" si="0"/>
        <v>0</v>
      </c>
      <c r="G24" s="3"/>
      <c r="H24" s="8">
        <v>463.27</v>
      </c>
      <c r="I24" s="3"/>
      <c r="J24" s="7">
        <f t="shared" si="1"/>
        <v>0</v>
      </c>
      <c r="K24" s="3"/>
      <c r="L24" s="8">
        <f t="shared" si="2"/>
        <v>11.939999999999998</v>
      </c>
      <c r="M24" s="3"/>
      <c r="N24" s="7">
        <f t="shared" si="3"/>
        <v>2.5773307142702956E-2</v>
      </c>
      <c r="O24" s="12"/>
      <c r="P24" s="8">
        <v>3957.03</v>
      </c>
      <c r="Q24" s="3"/>
      <c r="R24" s="7">
        <f t="shared" si="4"/>
        <v>0</v>
      </c>
      <c r="S24" s="3"/>
      <c r="T24" s="8">
        <v>4169.4399999999996</v>
      </c>
      <c r="U24" s="3"/>
      <c r="V24" s="7">
        <f t="shared" si="5"/>
        <v>0</v>
      </c>
      <c r="W24" s="3"/>
      <c r="X24" s="8">
        <f t="shared" si="6"/>
        <v>-212.4099999999994</v>
      </c>
      <c r="Y24" s="3"/>
      <c r="Z24" s="7">
        <f t="shared" si="7"/>
        <v>-5.0944491346559588E-2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403.46</v>
      </c>
      <c r="E25" s="3"/>
      <c r="F25" s="7">
        <f t="shared" si="0"/>
        <v>0</v>
      </c>
      <c r="G25" s="3"/>
      <c r="H25" s="8">
        <v>387.96</v>
      </c>
      <c r="I25" s="3"/>
      <c r="J25" s="7">
        <f t="shared" si="1"/>
        <v>0</v>
      </c>
      <c r="K25" s="3"/>
      <c r="L25" s="8">
        <f t="shared" si="2"/>
        <v>15.5</v>
      </c>
      <c r="M25" s="3"/>
      <c r="N25" s="7">
        <f t="shared" si="3"/>
        <v>3.9952572430147437E-2</v>
      </c>
      <c r="O25" s="12"/>
      <c r="P25" s="8">
        <v>3308.77</v>
      </c>
      <c r="Q25" s="3"/>
      <c r="R25" s="7">
        <f t="shared" si="4"/>
        <v>0</v>
      </c>
      <c r="S25" s="3"/>
      <c r="T25" s="8">
        <v>2197.8200000000002</v>
      </c>
      <c r="U25" s="3"/>
      <c r="V25" s="7">
        <f t="shared" si="5"/>
        <v>0</v>
      </c>
      <c r="W25" s="3"/>
      <c r="X25" s="8">
        <f t="shared" si="6"/>
        <v>1110.9499999999998</v>
      </c>
      <c r="Y25" s="3"/>
      <c r="Z25" s="7">
        <f t="shared" si="7"/>
        <v>0.50547815562693932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201.46</v>
      </c>
      <c r="E26" s="3"/>
      <c r="F26" s="7">
        <f t="shared" si="0"/>
        <v>0</v>
      </c>
      <c r="G26" s="3"/>
      <c r="H26" s="8">
        <v>193.72</v>
      </c>
      <c r="I26" s="3"/>
      <c r="J26" s="7">
        <f t="shared" si="1"/>
        <v>0</v>
      </c>
      <c r="K26" s="3"/>
      <c r="L26" s="8">
        <f t="shared" si="2"/>
        <v>7.7400000000000091</v>
      </c>
      <c r="M26" s="3"/>
      <c r="N26" s="7">
        <f t="shared" si="3"/>
        <v>3.9954573611397939E-2</v>
      </c>
      <c r="O26" s="12"/>
      <c r="P26" s="8">
        <v>2431.85</v>
      </c>
      <c r="Q26" s="3"/>
      <c r="R26" s="7">
        <f t="shared" si="4"/>
        <v>0</v>
      </c>
      <c r="S26" s="3"/>
      <c r="T26" s="8">
        <v>1646.62</v>
      </c>
      <c r="U26" s="3"/>
      <c r="V26" s="7">
        <f t="shared" si="5"/>
        <v>0</v>
      </c>
      <c r="W26" s="3"/>
      <c r="X26" s="8">
        <f t="shared" si="6"/>
        <v>785.23</v>
      </c>
      <c r="Y26" s="3"/>
      <c r="Z26" s="7">
        <f t="shared" si="7"/>
        <v>0.47687383852983695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200</v>
      </c>
      <c r="E27" s="3"/>
      <c r="F27" s="7">
        <f t="shared" si="0"/>
        <v>0</v>
      </c>
      <c r="G27" s="3"/>
      <c r="H27" s="8">
        <v>120</v>
      </c>
      <c r="I27" s="3"/>
      <c r="J27" s="7">
        <f t="shared" si="1"/>
        <v>0</v>
      </c>
      <c r="K27" s="3"/>
      <c r="L27" s="8">
        <f t="shared" si="2"/>
        <v>80</v>
      </c>
      <c r="M27" s="3"/>
      <c r="N27" s="7">
        <f t="shared" si="3"/>
        <v>0.66666666666666663</v>
      </c>
      <c r="O27" s="12"/>
      <c r="P27" s="8">
        <v>1328.52</v>
      </c>
      <c r="Q27" s="3"/>
      <c r="R27" s="7">
        <f t="shared" si="4"/>
        <v>0</v>
      </c>
      <c r="S27" s="3"/>
      <c r="T27" s="8">
        <v>1073.79</v>
      </c>
      <c r="U27" s="3"/>
      <c r="V27" s="7">
        <f t="shared" si="5"/>
        <v>0</v>
      </c>
      <c r="W27" s="3"/>
      <c r="X27" s="8">
        <f t="shared" si="6"/>
        <v>254.73000000000002</v>
      </c>
      <c r="Y27" s="3"/>
      <c r="Z27" s="7">
        <f t="shared" si="7"/>
        <v>0.23722515575671224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4202.57</v>
      </c>
      <c r="E28" s="2"/>
      <c r="F28" s="6">
        <f t="shared" si="0"/>
        <v>0</v>
      </c>
      <c r="G28" s="2"/>
      <c r="H28" s="2">
        <f>SUM(OSRRefH22_1x_0)</f>
        <v>3224.8</v>
      </c>
      <c r="I28" s="2"/>
      <c r="J28" s="6">
        <f t="shared" si="1"/>
        <v>0</v>
      </c>
      <c r="K28" s="2"/>
      <c r="L28" s="2">
        <f t="shared" si="2"/>
        <v>977.76999999999953</v>
      </c>
      <c r="M28" s="2"/>
      <c r="N28" s="6">
        <f t="shared" si="3"/>
        <v>0.30320329942942181</v>
      </c>
      <c r="O28" s="14"/>
      <c r="P28" s="2">
        <f>SUM(OSRRefP22_1x_0)</f>
        <v>34317.129999999997</v>
      </c>
      <c r="Q28" s="2"/>
      <c r="R28" s="6">
        <f t="shared" si="4"/>
        <v>0</v>
      </c>
      <c r="S28" s="2"/>
      <c r="T28" s="2">
        <f>SUM(OSRRefT22_1x_0)</f>
        <v>33747.96</v>
      </c>
      <c r="U28" s="2"/>
      <c r="V28" s="6">
        <f t="shared" si="5"/>
        <v>0</v>
      </c>
      <c r="W28" s="2"/>
      <c r="X28" s="2">
        <f t="shared" si="6"/>
        <v>569.16999999999825</v>
      </c>
      <c r="Y28" s="2"/>
      <c r="Z28" s="6">
        <f t="shared" si="7"/>
        <v>1.6865315710934772E-2</v>
      </c>
    </row>
    <row r="29" spans="1:26" s="69" customFormat="1" ht="15" hidden="1" customHeight="1" outlineLevel="2" x14ac:dyDescent="0.3">
      <c r="A29" s="26"/>
      <c r="B29" s="12" t="str">
        <f>CONCATENATE("          ","6002"," - ","STAFF SALARIES")</f>
        <v xml:space="preserve">          6002 - STAFF SALARIES</v>
      </c>
      <c r="C29" s="12"/>
      <c r="D29" s="8">
        <v>4202.57</v>
      </c>
      <c r="E29" s="3"/>
      <c r="F29" s="7">
        <f t="shared" si="0"/>
        <v>0</v>
      </c>
      <c r="G29" s="3"/>
      <c r="H29" s="8">
        <v>3224.8</v>
      </c>
      <c r="I29" s="3"/>
      <c r="J29" s="7">
        <f t="shared" si="1"/>
        <v>0</v>
      </c>
      <c r="K29" s="3"/>
      <c r="L29" s="8">
        <f t="shared" si="2"/>
        <v>977.76999999999953</v>
      </c>
      <c r="M29" s="3"/>
      <c r="N29" s="7">
        <f t="shared" si="3"/>
        <v>0.30320329942942181</v>
      </c>
      <c r="O29" s="12"/>
      <c r="P29" s="8">
        <v>34317.129999999997</v>
      </c>
      <c r="Q29" s="3"/>
      <c r="R29" s="7">
        <f t="shared" si="4"/>
        <v>0</v>
      </c>
      <c r="S29" s="3"/>
      <c r="T29" s="8">
        <v>33747.96</v>
      </c>
      <c r="U29" s="3"/>
      <c r="V29" s="7">
        <f t="shared" si="5"/>
        <v>0</v>
      </c>
      <c r="W29" s="3"/>
      <c r="X29" s="8">
        <f t="shared" si="6"/>
        <v>569.16999999999825</v>
      </c>
      <c r="Y29" s="3"/>
      <c r="Z29" s="7">
        <f t="shared" si="7"/>
        <v>1.6865315710934772E-2</v>
      </c>
    </row>
    <row r="30" spans="1:26" s="68" customFormat="1" ht="15" customHeight="1" outlineLevel="1" collapsed="1" x14ac:dyDescent="0.3">
      <c r="A30" s="25"/>
      <c r="B30" s="14" t="str">
        <f>CONCATENATE("     ","General                                           ")</f>
        <v xml:space="preserve">     General          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-906.57</v>
      </c>
      <c r="Q30" s="2"/>
      <c r="R30" s="6">
        <f t="shared" si="4"/>
        <v>0</v>
      </c>
      <c r="S30" s="2"/>
      <c r="T30" s="2">
        <f>SUM(OSRRefT22_2x_0)</f>
        <v>-238.8</v>
      </c>
      <c r="U30" s="2"/>
      <c r="V30" s="6">
        <f t="shared" si="5"/>
        <v>0</v>
      </c>
      <c r="W30" s="2"/>
      <c r="X30" s="2">
        <f t="shared" si="6"/>
        <v>-667.77</v>
      </c>
      <c r="Y30" s="2"/>
      <c r="Z30" s="6">
        <f t="shared" si="7"/>
        <v>2.796356783919598</v>
      </c>
    </row>
    <row r="31" spans="1:26" s="69" customFormat="1" ht="15" hidden="1" customHeight="1" outlineLevel="2" x14ac:dyDescent="0.3">
      <c r="A31" s="26"/>
      <c r="B31" s="12" t="str">
        <f>CONCATENATE("          ","6279"," - ","GENERAL EXPENSE")</f>
        <v xml:space="preserve">          6279 - GENERAL EXPENSE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-906.57</v>
      </c>
      <c r="Q31" s="3"/>
      <c r="R31" s="7">
        <f t="shared" si="4"/>
        <v>0</v>
      </c>
      <c r="S31" s="3"/>
      <c r="T31" s="8">
        <v>-238.8</v>
      </c>
      <c r="U31" s="3"/>
      <c r="V31" s="7">
        <f t="shared" si="5"/>
        <v>0</v>
      </c>
      <c r="W31" s="3"/>
      <c r="X31" s="8">
        <f t="shared" si="6"/>
        <v>-667.77</v>
      </c>
      <c r="Y31" s="3"/>
      <c r="Z31" s="7">
        <f t="shared" si="7"/>
        <v>2.796356783919598</v>
      </c>
    </row>
    <row r="32" spans="1:26" s="68" customFormat="1" ht="15" customHeight="1" outlineLevel="1" collapsed="1" x14ac:dyDescent="0.3">
      <c r="A32" s="25"/>
      <c r="B32" s="14" t="str">
        <f>CONCATENATE("     ","Insurance                                         ")</f>
        <v xml:space="preserve">     Insurance                                         </v>
      </c>
      <c r="C32" s="14"/>
      <c r="D32" s="2">
        <f>SUM(OSRRefD22_3x_0)</f>
        <v>33.380000000000003</v>
      </c>
      <c r="E32" s="2"/>
      <c r="F32" s="6">
        <f t="shared" si="0"/>
        <v>0</v>
      </c>
      <c r="G32" s="2"/>
      <c r="H32" s="2">
        <f>SUM(OSRRefH22_3x_0)</f>
        <v>24.56</v>
      </c>
      <c r="I32" s="2"/>
      <c r="J32" s="6">
        <f t="shared" si="1"/>
        <v>0</v>
      </c>
      <c r="K32" s="2"/>
      <c r="L32" s="2">
        <f t="shared" si="2"/>
        <v>8.8200000000000038</v>
      </c>
      <c r="M32" s="2"/>
      <c r="N32" s="6">
        <f t="shared" si="3"/>
        <v>0.3591205211726386</v>
      </c>
      <c r="O32" s="14"/>
      <c r="P32" s="2">
        <f>SUM(OSRRefP22_3x_0)</f>
        <v>267.04000000000002</v>
      </c>
      <c r="Q32" s="2"/>
      <c r="R32" s="6">
        <f t="shared" si="4"/>
        <v>0</v>
      </c>
      <c r="S32" s="2"/>
      <c r="T32" s="2">
        <f>SUM(OSRRefT22_3x_0)</f>
        <v>196.48</v>
      </c>
      <c r="U32" s="2"/>
      <c r="V32" s="6">
        <f t="shared" si="5"/>
        <v>0</v>
      </c>
      <c r="W32" s="2"/>
      <c r="X32" s="2">
        <f t="shared" si="6"/>
        <v>70.560000000000031</v>
      </c>
      <c r="Y32" s="2"/>
      <c r="Z32" s="6">
        <f t="shared" si="7"/>
        <v>0.3591205211726386</v>
      </c>
    </row>
    <row r="33" spans="1:26" s="69" customFormat="1" ht="15" hidden="1" customHeight="1" outlineLevel="2" x14ac:dyDescent="0.3">
      <c r="A33" s="26"/>
      <c r="B33" s="12" t="str">
        <f>CONCATENATE("          ","6314"," - ","LIABILITY INSURANCE")</f>
        <v xml:space="preserve">          6314 - LIABILITY INSURANCE</v>
      </c>
      <c r="C33" s="12"/>
      <c r="D33" s="8">
        <v>33.380000000000003</v>
      </c>
      <c r="E33" s="3"/>
      <c r="F33" s="7">
        <f t="shared" si="0"/>
        <v>0</v>
      </c>
      <c r="G33" s="3"/>
      <c r="H33" s="8">
        <v>24.56</v>
      </c>
      <c r="I33" s="3"/>
      <c r="J33" s="7">
        <f t="shared" si="1"/>
        <v>0</v>
      </c>
      <c r="K33" s="3"/>
      <c r="L33" s="8">
        <f t="shared" si="2"/>
        <v>8.8200000000000038</v>
      </c>
      <c r="M33" s="3"/>
      <c r="N33" s="7">
        <f t="shared" si="3"/>
        <v>0.3591205211726386</v>
      </c>
      <c r="O33" s="12"/>
      <c r="P33" s="8">
        <v>267.04000000000002</v>
      </c>
      <c r="Q33" s="3"/>
      <c r="R33" s="7">
        <f t="shared" si="4"/>
        <v>0</v>
      </c>
      <c r="S33" s="3"/>
      <c r="T33" s="8">
        <v>196.48</v>
      </c>
      <c r="U33" s="3"/>
      <c r="V33" s="7">
        <f t="shared" si="5"/>
        <v>0</v>
      </c>
      <c r="W33" s="3"/>
      <c r="X33" s="8">
        <f t="shared" si="6"/>
        <v>70.560000000000031</v>
      </c>
      <c r="Y33" s="3"/>
      <c r="Z33" s="7">
        <f t="shared" si="7"/>
        <v>0.3591205211726386</v>
      </c>
    </row>
    <row r="34" spans="1:26" s="68" customFormat="1" ht="15" customHeight="1" outlineLevel="1" collapsed="1" x14ac:dyDescent="0.3">
      <c r="A34" s="25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961.71999999999991</v>
      </c>
      <c r="E34" s="2"/>
      <c r="F34" s="6">
        <f t="shared" si="0"/>
        <v>0</v>
      </c>
      <c r="G34" s="2"/>
      <c r="H34" s="2">
        <f>SUM(OSRRefH22_4x_0)</f>
        <v>891.98</v>
      </c>
      <c r="I34" s="2"/>
      <c r="J34" s="6">
        <f t="shared" si="1"/>
        <v>0</v>
      </c>
      <c r="K34" s="2"/>
      <c r="L34" s="2">
        <f t="shared" si="2"/>
        <v>69.739999999999895</v>
      </c>
      <c r="M34" s="2"/>
      <c r="N34" s="6">
        <f t="shared" si="3"/>
        <v>7.8185609542814741E-2</v>
      </c>
      <c r="O34" s="14"/>
      <c r="P34" s="2">
        <f>SUM(OSRRefP22_4x_0)</f>
        <v>10241.540000000001</v>
      </c>
      <c r="Q34" s="2"/>
      <c r="R34" s="6">
        <f t="shared" si="4"/>
        <v>0</v>
      </c>
      <c r="S34" s="2"/>
      <c r="T34" s="2">
        <f>SUM(OSRRefT22_4x_0)</f>
        <v>8284.25</v>
      </c>
      <c r="U34" s="2"/>
      <c r="V34" s="6">
        <f t="shared" si="5"/>
        <v>0</v>
      </c>
      <c r="W34" s="2"/>
      <c r="X34" s="2">
        <f t="shared" si="6"/>
        <v>1957.2900000000009</v>
      </c>
      <c r="Y34" s="2"/>
      <c r="Z34" s="6">
        <f t="shared" si="7"/>
        <v>0.23626640914989297</v>
      </c>
    </row>
    <row r="35" spans="1:26" s="69" customFormat="1" ht="15" hidden="1" customHeight="1" outlineLevel="2" x14ac:dyDescent="0.3">
      <c r="A35" s="26"/>
      <c r="B35" s="12" t="str">
        <f>CONCATENATE("          ","6373"," - ","MAINTENANCE CONTRACTS")</f>
        <v xml:space="preserve">          6373 - MAINTENANCE CONTRACTS</v>
      </c>
      <c r="C35" s="12"/>
      <c r="D35" s="8">
        <v>946.3</v>
      </c>
      <c r="E35" s="3"/>
      <c r="F35" s="7">
        <f t="shared" si="0"/>
        <v>0</v>
      </c>
      <c r="G35" s="3"/>
      <c r="H35" s="8">
        <v>891.98</v>
      </c>
      <c r="I35" s="3"/>
      <c r="J35" s="7">
        <f t="shared" si="1"/>
        <v>0</v>
      </c>
      <c r="K35" s="3"/>
      <c r="L35" s="8">
        <f t="shared" si="2"/>
        <v>54.319999999999936</v>
      </c>
      <c r="M35" s="3"/>
      <c r="N35" s="7">
        <f t="shared" si="3"/>
        <v>6.0898226417632609E-2</v>
      </c>
      <c r="O35" s="12"/>
      <c r="P35" s="8">
        <v>10153.280000000001</v>
      </c>
      <c r="Q35" s="3"/>
      <c r="R35" s="7">
        <f t="shared" si="4"/>
        <v>0</v>
      </c>
      <c r="S35" s="3"/>
      <c r="T35" s="8">
        <v>6113.96</v>
      </c>
      <c r="U35" s="3"/>
      <c r="V35" s="7">
        <f t="shared" si="5"/>
        <v>0</v>
      </c>
      <c r="W35" s="3"/>
      <c r="X35" s="8">
        <f t="shared" si="6"/>
        <v>4039.3200000000006</v>
      </c>
      <c r="Y35" s="3"/>
      <c r="Z35" s="7">
        <f t="shared" si="7"/>
        <v>0.66067164325576233</v>
      </c>
    </row>
    <row r="36" spans="1:26" s="69" customFormat="1" ht="15" hidden="1" customHeight="1" outlineLevel="2" x14ac:dyDescent="0.3">
      <c r="A36" s="26"/>
      <c r="B36" s="12" t="str">
        <f>CONCATENATE("          ","6375"," - ","OUTSIDE REPAIRS &amp; MAINTENANCE")</f>
        <v xml:space="preserve">          6375 - OUTSIDE REPAIRS &amp; MAINTENANCE</v>
      </c>
      <c r="C36" s="12"/>
      <c r="D36" s="8">
        <v>15.42</v>
      </c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15.42</v>
      </c>
      <c r="M36" s="3"/>
      <c r="N36" s="7">
        <f t="shared" si="3"/>
        <v>0</v>
      </c>
      <c r="O36" s="12"/>
      <c r="P36" s="8">
        <v>88.26</v>
      </c>
      <c r="Q36" s="3"/>
      <c r="R36" s="7">
        <f t="shared" si="4"/>
        <v>0</v>
      </c>
      <c r="S36" s="3"/>
      <c r="T36" s="8">
        <v>2170.29</v>
      </c>
      <c r="U36" s="3"/>
      <c r="V36" s="7">
        <f t="shared" si="5"/>
        <v>0</v>
      </c>
      <c r="W36" s="3"/>
      <c r="X36" s="8">
        <f t="shared" si="6"/>
        <v>-2082.0299999999997</v>
      </c>
      <c r="Y36" s="3"/>
      <c r="Z36" s="7">
        <f t="shared" si="7"/>
        <v>-0.95933262375074291</v>
      </c>
    </row>
    <row r="37" spans="1:26" s="68" customFormat="1" ht="15" customHeight="1" outlineLevel="1" collapsed="1" x14ac:dyDescent="0.3">
      <c r="A37" s="25"/>
      <c r="B37" s="14" t="str">
        <f>CONCATENATE("     ","Supplies                                          ")</f>
        <v xml:space="preserve">     Supplies                                          </v>
      </c>
      <c r="C37" s="14"/>
      <c r="D37" s="2">
        <f>SUM(OSRRefD22_5x_0)</f>
        <v>0</v>
      </c>
      <c r="E37" s="2"/>
      <c r="F37" s="6">
        <f t="shared" si="0"/>
        <v>0</v>
      </c>
      <c r="G37" s="2"/>
      <c r="H37" s="2">
        <f>SUM(OSRRefH22_5x_0)</f>
        <v>2.8</v>
      </c>
      <c r="I37" s="2"/>
      <c r="J37" s="6">
        <f t="shared" si="1"/>
        <v>0</v>
      </c>
      <c r="K37" s="2"/>
      <c r="L37" s="2">
        <f t="shared" si="2"/>
        <v>-2.8</v>
      </c>
      <c r="M37" s="2"/>
      <c r="N37" s="6">
        <f t="shared" si="3"/>
        <v>-1</v>
      </c>
      <c r="O37" s="14"/>
      <c r="P37" s="2">
        <f>SUM(OSRRefP22_5x_0)</f>
        <v>236.29999999999998</v>
      </c>
      <c r="Q37" s="2"/>
      <c r="R37" s="6">
        <f t="shared" si="4"/>
        <v>0</v>
      </c>
      <c r="S37" s="2"/>
      <c r="T37" s="2">
        <f>SUM(OSRRefT22_5x_0)</f>
        <v>84.84</v>
      </c>
      <c r="U37" s="2"/>
      <c r="V37" s="6">
        <f t="shared" si="5"/>
        <v>0</v>
      </c>
      <c r="W37" s="2"/>
      <c r="X37" s="2">
        <f t="shared" si="6"/>
        <v>151.45999999999998</v>
      </c>
      <c r="Y37" s="2"/>
      <c r="Z37" s="6">
        <f t="shared" si="7"/>
        <v>1.7852428099952848</v>
      </c>
    </row>
    <row r="38" spans="1:26" s="69" customFormat="1" ht="15" hidden="1" customHeight="1" outlineLevel="2" x14ac:dyDescent="0.3">
      <c r="A38" s="26"/>
      <c r="B38" s="12" t="str">
        <f>CONCATENATE("          ","6234"," - ","EXPENDABLE SUPPLIES &amp; EQUIPMEN")</f>
        <v xml:space="preserve">          6234 - EXPENDABLE SUPPLIES &amp; EQUIPMEN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26.1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26.1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","6235"," - ","COVID-19 EXPENSES")</f>
        <v xml:space="preserve">          6235 - COVID-19 EXPENSES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66.12</v>
      </c>
      <c r="U39" s="3"/>
      <c r="V39" s="7">
        <f t="shared" si="5"/>
        <v>0</v>
      </c>
      <c r="W39" s="3"/>
      <c r="X39" s="8">
        <f t="shared" si="6"/>
        <v>-66.12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","6241"," - ","OFFICE EXPENSE")</f>
        <v xml:space="preserve">          6241 - OFFICE EXPENSE</v>
      </c>
      <c r="C40" s="12"/>
      <c r="D40" s="8"/>
      <c r="E40" s="3"/>
      <c r="F40" s="7">
        <f t="shared" si="0"/>
        <v>0</v>
      </c>
      <c r="G40" s="3"/>
      <c r="H40" s="8">
        <v>2.8</v>
      </c>
      <c r="I40" s="3"/>
      <c r="J40" s="7">
        <f t="shared" si="1"/>
        <v>0</v>
      </c>
      <c r="K40" s="3"/>
      <c r="L40" s="8">
        <f t="shared" si="2"/>
        <v>-2.8</v>
      </c>
      <c r="M40" s="3"/>
      <c r="N40" s="7">
        <f t="shared" si="3"/>
        <v>-1</v>
      </c>
      <c r="O40" s="12"/>
      <c r="P40" s="8">
        <v>210.2</v>
      </c>
      <c r="Q40" s="3"/>
      <c r="R40" s="7">
        <f t="shared" si="4"/>
        <v>0</v>
      </c>
      <c r="S40" s="3"/>
      <c r="T40" s="8">
        <v>18.72</v>
      </c>
      <c r="U40" s="3"/>
      <c r="V40" s="7">
        <f t="shared" si="5"/>
        <v>0</v>
      </c>
      <c r="W40" s="3"/>
      <c r="X40" s="8">
        <f t="shared" si="6"/>
        <v>191.48</v>
      </c>
      <c r="Y40" s="3"/>
      <c r="Z40" s="7">
        <f t="shared" si="7"/>
        <v>10.228632478632479</v>
      </c>
    </row>
    <row r="41" spans="1:26" s="68" customFormat="1" ht="15" customHeight="1" outlineLevel="1" collapsed="1" x14ac:dyDescent="0.3">
      <c r="A41" s="25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98</v>
      </c>
      <c r="E41" s="2"/>
      <c r="F41" s="6">
        <f t="shared" si="0"/>
        <v>0</v>
      </c>
      <c r="G41" s="2"/>
      <c r="H41" s="2">
        <f>SUM(OSRRefH22_6x_0)</f>
        <v>23</v>
      </c>
      <c r="I41" s="2"/>
      <c r="J41" s="6">
        <f t="shared" si="1"/>
        <v>0</v>
      </c>
      <c r="K41" s="2"/>
      <c r="L41" s="2">
        <f t="shared" si="2"/>
        <v>75</v>
      </c>
      <c r="M41" s="2"/>
      <c r="N41" s="6">
        <f t="shared" si="3"/>
        <v>3.2608695652173911</v>
      </c>
      <c r="O41" s="14"/>
      <c r="P41" s="2">
        <f>SUM(OSRRefP22_6x_0)</f>
        <v>734</v>
      </c>
      <c r="Q41" s="2"/>
      <c r="R41" s="6">
        <f t="shared" si="4"/>
        <v>0</v>
      </c>
      <c r="S41" s="2"/>
      <c r="T41" s="2">
        <f>SUM(OSRRefT22_6x_0)</f>
        <v>463</v>
      </c>
      <c r="U41" s="2"/>
      <c r="V41" s="6">
        <f t="shared" si="5"/>
        <v>0</v>
      </c>
      <c r="W41" s="2"/>
      <c r="X41" s="2">
        <f t="shared" si="6"/>
        <v>271</v>
      </c>
      <c r="Y41" s="2"/>
      <c r="Z41" s="6">
        <f t="shared" si="7"/>
        <v>0.58531317494600432</v>
      </c>
    </row>
    <row r="42" spans="1:26" s="69" customFormat="1" ht="15" hidden="1" customHeight="1" outlineLevel="2" x14ac:dyDescent="0.3">
      <c r="A42" s="26"/>
      <c r="B42" s="12" t="str">
        <f>CONCATENATE("          ","6309"," - ","TELEPHONE")</f>
        <v xml:space="preserve">          6309 - TELEPHONE</v>
      </c>
      <c r="C42" s="12"/>
      <c r="D42" s="8">
        <v>98</v>
      </c>
      <c r="E42" s="3"/>
      <c r="F42" s="7">
        <f t="shared" si="0"/>
        <v>0</v>
      </c>
      <c r="G42" s="3"/>
      <c r="H42" s="8">
        <v>23</v>
      </c>
      <c r="I42" s="3"/>
      <c r="J42" s="7">
        <f t="shared" si="1"/>
        <v>0</v>
      </c>
      <c r="K42" s="3"/>
      <c r="L42" s="8">
        <f t="shared" si="2"/>
        <v>75</v>
      </c>
      <c r="M42" s="3"/>
      <c r="N42" s="7">
        <f t="shared" si="3"/>
        <v>3.2608695652173911</v>
      </c>
      <c r="O42" s="12"/>
      <c r="P42" s="8">
        <v>734</v>
      </c>
      <c r="Q42" s="3"/>
      <c r="R42" s="7">
        <f t="shared" si="4"/>
        <v>0</v>
      </c>
      <c r="S42" s="3"/>
      <c r="T42" s="8">
        <v>463</v>
      </c>
      <c r="U42" s="3"/>
      <c r="V42" s="7">
        <f t="shared" si="5"/>
        <v>0</v>
      </c>
      <c r="W42" s="3"/>
      <c r="X42" s="8">
        <f t="shared" si="6"/>
        <v>271</v>
      </c>
      <c r="Y42" s="3"/>
      <c r="Z42" s="7">
        <f t="shared" si="7"/>
        <v>0.58531317494600432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7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8" t="s">
        <v>291</v>
      </c>
      <c r="C46" s="28"/>
      <c r="D46" s="23">
        <f>+D16-D18+D44</f>
        <v>-7873.39</v>
      </c>
      <c r="E46" s="15"/>
      <c r="F46" s="22">
        <f>IF(D$12=0,0,D46/D$12)</f>
        <v>0</v>
      </c>
      <c r="G46" s="15"/>
      <c r="H46" s="23">
        <f>+H16-H18+H44</f>
        <v>-6657.22</v>
      </c>
      <c r="I46" s="15"/>
      <c r="J46" s="22">
        <f>IF(H$12=0,0,H46/H$12)</f>
        <v>0</v>
      </c>
      <c r="K46" s="17"/>
      <c r="L46" s="23">
        <f>+D46-H46</f>
        <v>-1216.17</v>
      </c>
      <c r="M46" s="17"/>
      <c r="N46" s="22">
        <f>IF(H46=0,0,L46/H46)</f>
        <v>0.18268436374342445</v>
      </c>
      <c r="O46" s="27"/>
      <c r="P46" s="23">
        <f>+P16-P18+P44</f>
        <v>-66464.25</v>
      </c>
      <c r="Q46" s="15"/>
      <c r="R46" s="22">
        <f>IF(P$12=0,0,P46/P$12)</f>
        <v>0</v>
      </c>
      <c r="S46" s="15"/>
      <c r="T46" s="23">
        <f>+T16-T18+T44</f>
        <v>-62446.820000000007</v>
      </c>
      <c r="U46" s="15"/>
      <c r="V46" s="22">
        <f>IF(T$12=0,0,T46/T$12)</f>
        <v>0</v>
      </c>
      <c r="W46" s="17"/>
      <c r="X46" s="23">
        <f>+P46-T46</f>
        <v>-4017.429999999993</v>
      </c>
      <c r="Y46" s="17"/>
      <c r="Z46" s="22">
        <f>IF(T46=0,0,X46/T46)</f>
        <v>6.4333620190747787E-2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293</v>
      </c>
      <c r="C50" s="28"/>
      <c r="D50" s="33">
        <f>+D46-D48</f>
        <v>-7873.39</v>
      </c>
      <c r="E50" s="15"/>
      <c r="F50" s="34">
        <f>IF(D$12=0,0,D50/D$12)</f>
        <v>0</v>
      </c>
      <c r="G50" s="15"/>
      <c r="H50" s="33">
        <f>+H46-H48</f>
        <v>-6657.22</v>
      </c>
      <c r="I50" s="15"/>
      <c r="J50" s="34">
        <f>IF(H$12=0,0,H50/H$12)</f>
        <v>0</v>
      </c>
      <c r="K50" s="17"/>
      <c r="L50" s="33">
        <f>D50-H50</f>
        <v>-1216.17</v>
      </c>
      <c r="M50" s="17"/>
      <c r="N50" s="34">
        <f>IF(H50=0,0,L50/H50)</f>
        <v>0.18268436374342445</v>
      </c>
      <c r="O50" s="27"/>
      <c r="P50" s="33">
        <f>+P46-P48</f>
        <v>-66464.25</v>
      </c>
      <c r="Q50" s="15"/>
      <c r="R50" s="34">
        <f>IF(P$12=0,0,P50/P$12)</f>
        <v>0</v>
      </c>
      <c r="S50" s="15"/>
      <c r="T50" s="33">
        <f>+T46-T48</f>
        <v>-62446.820000000007</v>
      </c>
      <c r="U50" s="15"/>
      <c r="V50" s="34">
        <f>IF(T$12=0,0,T50/T$12)</f>
        <v>0</v>
      </c>
      <c r="W50" s="17"/>
      <c r="X50" s="33">
        <f>P50-T50</f>
        <v>-4017.429999999993</v>
      </c>
      <c r="Y50" s="17"/>
      <c r="Z50" s="34">
        <f>IF(T50=0,0,X50/T50)</f>
        <v>6.4333620190747787E-2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8" t="s">
        <v>296</v>
      </c>
      <c r="C53" s="28"/>
      <c r="D53" s="35">
        <f>SUM(D50:D52)</f>
        <v>-7873.39</v>
      </c>
      <c r="E53" s="15"/>
      <c r="F53" s="29">
        <f>IF(D$12=0,0,D53/D$12)</f>
        <v>0</v>
      </c>
      <c r="G53" s="15"/>
      <c r="H53" s="35">
        <f>SUM(H50:H52)</f>
        <v>-6657.22</v>
      </c>
      <c r="I53" s="15"/>
      <c r="J53" s="29">
        <f>IF(H$12=0,0,H53/H$12)</f>
        <v>0</v>
      </c>
      <c r="K53" s="17"/>
      <c r="L53" s="35">
        <f>+D53-H53</f>
        <v>-1216.17</v>
      </c>
      <c r="M53" s="17"/>
      <c r="N53" s="29">
        <f>IF(H53=0,0,L53/H53)</f>
        <v>0.18268436374342445</v>
      </c>
      <c r="O53" s="27"/>
      <c r="P53" s="35">
        <f>SUM(P50:P52)</f>
        <v>-66464.25</v>
      </c>
      <c r="Q53" s="15"/>
      <c r="R53" s="29">
        <f>IF(P$12=0,0,P53/P$12)</f>
        <v>0</v>
      </c>
      <c r="S53" s="15"/>
      <c r="T53" s="35">
        <f>SUM(T50:T52)</f>
        <v>-62446.820000000007</v>
      </c>
      <c r="U53" s="15"/>
      <c r="V53" s="29">
        <f>IF(T$12=0,0,T53/T$12)</f>
        <v>0</v>
      </c>
      <c r="W53" s="17"/>
      <c r="X53" s="35">
        <f>+P53-T53</f>
        <v>-4017.429999999993</v>
      </c>
      <c r="Y53" s="17"/>
      <c r="Z53" s="29">
        <f>IF(T53=0,0,X53/T53)</f>
        <v>6.4333620190747787E-2</v>
      </c>
    </row>
    <row r="54" spans="1:26" ht="15" customHeight="1" x14ac:dyDescent="0.3">
      <c r="A54" s="10"/>
      <c r="C54" s="10"/>
      <c r="D54" s="18"/>
      <c r="E54" s="18"/>
      <c r="G54" s="18"/>
      <c r="H54" s="18"/>
      <c r="I54" s="18"/>
      <c r="J54" s="41"/>
      <c r="K54" s="18"/>
      <c r="L54" s="18"/>
      <c r="M54" s="18"/>
      <c r="P54" s="18"/>
      <c r="Q54" s="18"/>
      <c r="R54" s="41"/>
      <c r="S54" s="18"/>
      <c r="T54" s="18"/>
      <c r="U54" s="18"/>
      <c r="V54" s="41"/>
      <c r="W54" s="18"/>
      <c r="X54" s="18"/>
    </row>
    <row r="55" spans="1:26" ht="15" customHeight="1" x14ac:dyDescent="0.3">
      <c r="A55" s="10"/>
      <c r="B55" s="50">
        <v>44634.887810300927</v>
      </c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3">
      <c r="A56" s="10"/>
      <c r="B56" s="58" t="s">
        <v>297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3">
      <c r="A57" s="10"/>
      <c r="B57" s="56"/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3"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91D8-5AAE-7849-7CF5-1D632FA4DBAD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","206"," - ","Communications")</f>
        <v>Department 206 - Communications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7505.9599999999991</v>
      </c>
      <c r="E18" s="21"/>
      <c r="F18" s="30">
        <f t="shared" ref="F18:F42" si="0">IF(D$12=0,0,D18/D$12)</f>
        <v>0</v>
      </c>
      <c r="G18" s="21"/>
      <c r="H18" s="21" cm="1">
        <f t="array" ref="H18">SUM(OSRRefH22x_0)</f>
        <v>8181.4500000000007</v>
      </c>
      <c r="I18" s="21"/>
      <c r="J18" s="30">
        <f t="shared" ref="J18:J42" si="1">IF(H$12=0,0,H18/H$12)</f>
        <v>0</v>
      </c>
      <c r="K18" s="5"/>
      <c r="L18" s="21">
        <f t="shared" ref="L18:L42" si="2">+D18-H18</f>
        <v>-675.4900000000016</v>
      </c>
      <c r="M18" s="5"/>
      <c r="N18" s="30">
        <f t="shared" ref="N18:N42" si="3">IF(H18=0,0,L18/H18)</f>
        <v>-8.2563604251080377E-2</v>
      </c>
      <c r="O18" s="11"/>
      <c r="P18" s="21" cm="1">
        <f t="array" ref="P18">SUM(OSRRefP22x_0)</f>
        <v>68394.22</v>
      </c>
      <c r="Q18" s="21"/>
      <c r="R18" s="30">
        <f t="shared" ref="R18:R42" si="4">IF(P$12=0,0,P18/P$12)</f>
        <v>0</v>
      </c>
      <c r="S18" s="21"/>
      <c r="T18" s="21" cm="1">
        <f t="array" ref="T18">SUM(OSRRefT22x_0)</f>
        <v>70827.299999999988</v>
      </c>
      <c r="U18" s="21"/>
      <c r="V18" s="30">
        <f t="shared" ref="V18:V42" si="5">IF(T$12=0,0,T18/T$12)</f>
        <v>0</v>
      </c>
      <c r="W18" s="5"/>
      <c r="X18" s="21">
        <f t="shared" ref="X18:X42" si="6">+P18-T18</f>
        <v>-2433.0799999999872</v>
      </c>
      <c r="Y18" s="5"/>
      <c r="Z18" s="30">
        <f t="shared" ref="Z18:Z42" si="7">IF(T18=0,0,X18/T18)</f>
        <v>-3.4352290712761711E-2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1221.8999999999999</v>
      </c>
      <c r="E19" s="2"/>
      <c r="F19" s="6">
        <f t="shared" si="0"/>
        <v>0</v>
      </c>
      <c r="G19" s="2"/>
      <c r="H19" s="2">
        <f>SUM(OSRRefH22_0x_0)</f>
        <v>2006.0500000000002</v>
      </c>
      <c r="I19" s="2"/>
      <c r="J19" s="6">
        <f t="shared" si="1"/>
        <v>0</v>
      </c>
      <c r="K19" s="2"/>
      <c r="L19" s="2">
        <f t="shared" si="2"/>
        <v>-784.15000000000032</v>
      </c>
      <c r="M19" s="2"/>
      <c r="N19" s="6">
        <f t="shared" si="3"/>
        <v>-0.39089255003614082</v>
      </c>
      <c r="O19" s="14"/>
      <c r="P19" s="2">
        <f>SUM(OSRRefP22_0x_0)</f>
        <v>14385.250000000002</v>
      </c>
      <c r="Q19" s="2"/>
      <c r="R19" s="6">
        <f t="shared" si="4"/>
        <v>0</v>
      </c>
      <c r="S19" s="2"/>
      <c r="T19" s="2">
        <f>SUM(OSRRefT22_0x_0)</f>
        <v>13521.12</v>
      </c>
      <c r="U19" s="2"/>
      <c r="V19" s="6">
        <f t="shared" si="5"/>
        <v>0</v>
      </c>
      <c r="W19" s="2"/>
      <c r="X19" s="2">
        <f t="shared" si="6"/>
        <v>864.13000000000102</v>
      </c>
      <c r="Y19" s="2"/>
      <c r="Z19" s="6">
        <f t="shared" si="7"/>
        <v>6.3909646538156673E-2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400.55</v>
      </c>
      <c r="E20" s="3"/>
      <c r="F20" s="7">
        <f t="shared" si="0"/>
        <v>0</v>
      </c>
      <c r="G20" s="3"/>
      <c r="H20" s="8">
        <v>399.03</v>
      </c>
      <c r="I20" s="3"/>
      <c r="J20" s="7">
        <f t="shared" si="1"/>
        <v>0</v>
      </c>
      <c r="K20" s="3"/>
      <c r="L20" s="8">
        <f t="shared" si="2"/>
        <v>1.5200000000000387</v>
      </c>
      <c r="M20" s="3"/>
      <c r="N20" s="7">
        <f t="shared" si="3"/>
        <v>3.8092374006967866E-3</v>
      </c>
      <c r="O20" s="12"/>
      <c r="P20" s="8">
        <v>3378.05</v>
      </c>
      <c r="Q20" s="3"/>
      <c r="R20" s="7">
        <f t="shared" si="4"/>
        <v>0</v>
      </c>
      <c r="S20" s="3"/>
      <c r="T20" s="8">
        <v>3203.12</v>
      </c>
      <c r="U20" s="3"/>
      <c r="V20" s="7">
        <f t="shared" si="5"/>
        <v>0</v>
      </c>
      <c r="W20" s="3"/>
      <c r="X20" s="8">
        <f t="shared" si="6"/>
        <v>174.93000000000029</v>
      </c>
      <c r="Y20" s="3"/>
      <c r="Z20" s="7">
        <f t="shared" si="7"/>
        <v>5.4612377931516867E-2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67.45</v>
      </c>
      <c r="E21" s="3"/>
      <c r="F21" s="7">
        <f t="shared" si="0"/>
        <v>0</v>
      </c>
      <c r="G21" s="3"/>
      <c r="H21" s="8">
        <v>19.989999999999998</v>
      </c>
      <c r="I21" s="3"/>
      <c r="J21" s="7">
        <f t="shared" si="1"/>
        <v>0</v>
      </c>
      <c r="K21" s="3"/>
      <c r="L21" s="8">
        <f t="shared" si="2"/>
        <v>47.460000000000008</v>
      </c>
      <c r="M21" s="3"/>
      <c r="N21" s="7">
        <f t="shared" si="3"/>
        <v>2.3741870935467739</v>
      </c>
      <c r="O21" s="12"/>
      <c r="P21" s="8">
        <v>669.13</v>
      </c>
      <c r="Q21" s="3"/>
      <c r="R21" s="7">
        <f t="shared" si="4"/>
        <v>0</v>
      </c>
      <c r="S21" s="3"/>
      <c r="T21" s="8">
        <v>169.27</v>
      </c>
      <c r="U21" s="3"/>
      <c r="V21" s="7">
        <f t="shared" si="5"/>
        <v>0</v>
      </c>
      <c r="W21" s="3"/>
      <c r="X21" s="8">
        <f t="shared" si="6"/>
        <v>499.86</v>
      </c>
      <c r="Y21" s="3"/>
      <c r="Z21" s="7">
        <f t="shared" si="7"/>
        <v>2.9530336149347196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39.83</v>
      </c>
      <c r="E22" s="3"/>
      <c r="F22" s="7">
        <f t="shared" si="0"/>
        <v>0</v>
      </c>
      <c r="G22" s="3"/>
      <c r="H22" s="8">
        <v>704.62</v>
      </c>
      <c r="I22" s="3"/>
      <c r="J22" s="7">
        <f t="shared" si="1"/>
        <v>0</v>
      </c>
      <c r="K22" s="3"/>
      <c r="L22" s="8">
        <f t="shared" si="2"/>
        <v>-664.79</v>
      </c>
      <c r="M22" s="3"/>
      <c r="N22" s="7">
        <f t="shared" si="3"/>
        <v>-0.94347307768726396</v>
      </c>
      <c r="O22" s="12"/>
      <c r="P22" s="8">
        <v>4296.13</v>
      </c>
      <c r="Q22" s="3"/>
      <c r="R22" s="7">
        <f t="shared" si="4"/>
        <v>0</v>
      </c>
      <c r="S22" s="3"/>
      <c r="T22" s="8">
        <v>5614.46</v>
      </c>
      <c r="U22" s="3"/>
      <c r="V22" s="7">
        <f t="shared" si="5"/>
        <v>0</v>
      </c>
      <c r="W22" s="3"/>
      <c r="X22" s="8">
        <f t="shared" si="6"/>
        <v>-1318.33</v>
      </c>
      <c r="Y22" s="3"/>
      <c r="Z22" s="7">
        <f t="shared" si="7"/>
        <v>-0.23480975908635915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13.59</v>
      </c>
      <c r="E23" s="3"/>
      <c r="F23" s="7">
        <f t="shared" si="0"/>
        <v>0</v>
      </c>
      <c r="G23" s="3"/>
      <c r="H23" s="8">
        <v>15.75</v>
      </c>
      <c r="I23" s="3"/>
      <c r="J23" s="7">
        <f t="shared" si="1"/>
        <v>0</v>
      </c>
      <c r="K23" s="3"/>
      <c r="L23" s="8">
        <f t="shared" si="2"/>
        <v>-2.16</v>
      </c>
      <c r="M23" s="3"/>
      <c r="N23" s="7">
        <f t="shared" si="3"/>
        <v>-0.13714285714285715</v>
      </c>
      <c r="O23" s="12"/>
      <c r="P23" s="8">
        <v>134.87</v>
      </c>
      <c r="Q23" s="3"/>
      <c r="R23" s="7">
        <f t="shared" si="4"/>
        <v>0</v>
      </c>
      <c r="S23" s="3"/>
      <c r="T23" s="8">
        <v>133.37</v>
      </c>
      <c r="U23" s="3"/>
      <c r="V23" s="7">
        <f t="shared" si="5"/>
        <v>0</v>
      </c>
      <c r="W23" s="3"/>
      <c r="X23" s="8">
        <f t="shared" si="6"/>
        <v>1.5</v>
      </c>
      <c r="Y23" s="3"/>
      <c r="Z23" s="7">
        <f t="shared" si="7"/>
        <v>1.1246907100547349E-2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368.66</v>
      </c>
      <c r="I24" s="3"/>
      <c r="J24" s="7">
        <f t="shared" si="1"/>
        <v>0</v>
      </c>
      <c r="K24" s="3"/>
      <c r="L24" s="8">
        <f t="shared" si="2"/>
        <v>-368.66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810.5</v>
      </c>
      <c r="U24" s="3"/>
      <c r="V24" s="7">
        <f t="shared" si="5"/>
        <v>0</v>
      </c>
      <c r="W24" s="3"/>
      <c r="X24" s="8">
        <f t="shared" si="6"/>
        <v>-810.5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287.66000000000003</v>
      </c>
      <c r="E25" s="3"/>
      <c r="F25" s="7">
        <f t="shared" si="0"/>
        <v>0</v>
      </c>
      <c r="G25" s="3"/>
      <c r="H25" s="8">
        <v>276.60000000000002</v>
      </c>
      <c r="I25" s="3"/>
      <c r="J25" s="7">
        <f t="shared" si="1"/>
        <v>0</v>
      </c>
      <c r="K25" s="3"/>
      <c r="L25" s="8">
        <f t="shared" si="2"/>
        <v>11.060000000000002</v>
      </c>
      <c r="M25" s="3"/>
      <c r="N25" s="7">
        <f t="shared" si="3"/>
        <v>3.9985538684020251E-2</v>
      </c>
      <c r="O25" s="12"/>
      <c r="P25" s="8">
        <v>2452.14</v>
      </c>
      <c r="Q25" s="3"/>
      <c r="R25" s="7">
        <f t="shared" si="4"/>
        <v>0</v>
      </c>
      <c r="S25" s="3"/>
      <c r="T25" s="8">
        <v>1708.5</v>
      </c>
      <c r="U25" s="3"/>
      <c r="V25" s="7">
        <f t="shared" si="5"/>
        <v>0</v>
      </c>
      <c r="W25" s="3"/>
      <c r="X25" s="8">
        <f t="shared" si="6"/>
        <v>743.63999999999987</v>
      </c>
      <c r="Y25" s="3"/>
      <c r="Z25" s="7">
        <f t="shared" si="7"/>
        <v>0.4352589991220368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230.26</v>
      </c>
      <c r="E26" s="3"/>
      <c r="F26" s="7">
        <f t="shared" si="0"/>
        <v>0</v>
      </c>
      <c r="G26" s="3"/>
      <c r="H26" s="8">
        <v>221.4</v>
      </c>
      <c r="I26" s="3"/>
      <c r="J26" s="7">
        <f t="shared" si="1"/>
        <v>0</v>
      </c>
      <c r="K26" s="3"/>
      <c r="L26" s="8">
        <f t="shared" si="2"/>
        <v>8.8599999999999852</v>
      </c>
      <c r="M26" s="3"/>
      <c r="N26" s="7">
        <f t="shared" si="3"/>
        <v>4.0018066847335075E-2</v>
      </c>
      <c r="O26" s="12"/>
      <c r="P26" s="8">
        <v>2226.75</v>
      </c>
      <c r="Q26" s="3"/>
      <c r="R26" s="7">
        <f t="shared" si="4"/>
        <v>0</v>
      </c>
      <c r="S26" s="3"/>
      <c r="T26" s="8">
        <v>1881.9</v>
      </c>
      <c r="U26" s="3"/>
      <c r="V26" s="7">
        <f t="shared" si="5"/>
        <v>0</v>
      </c>
      <c r="W26" s="3"/>
      <c r="X26" s="8">
        <f t="shared" si="6"/>
        <v>344.84999999999991</v>
      </c>
      <c r="Y26" s="3"/>
      <c r="Z26" s="7">
        <f t="shared" si="7"/>
        <v>0.18324565598597156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182.56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182.56</v>
      </c>
      <c r="M27" s="3"/>
      <c r="N27" s="7">
        <f t="shared" si="3"/>
        <v>0</v>
      </c>
      <c r="O27" s="12"/>
      <c r="P27" s="8">
        <v>1228.18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1228.18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6072.6399999999994</v>
      </c>
      <c r="E28" s="2"/>
      <c r="F28" s="6">
        <f t="shared" si="0"/>
        <v>0</v>
      </c>
      <c r="G28" s="2"/>
      <c r="H28" s="2">
        <f>SUM(OSRRefH22_1x_0)</f>
        <v>5792.93</v>
      </c>
      <c r="I28" s="2"/>
      <c r="J28" s="6">
        <f t="shared" si="1"/>
        <v>0</v>
      </c>
      <c r="K28" s="2"/>
      <c r="L28" s="2">
        <f t="shared" si="2"/>
        <v>279.70999999999913</v>
      </c>
      <c r="M28" s="2"/>
      <c r="N28" s="6">
        <f t="shared" si="3"/>
        <v>4.8284719477017519E-2</v>
      </c>
      <c r="O28" s="14"/>
      <c r="P28" s="2">
        <f>SUM(OSRRefP22_1x_0)</f>
        <v>52132.600000000006</v>
      </c>
      <c r="Q28" s="2"/>
      <c r="R28" s="6">
        <f t="shared" si="4"/>
        <v>0</v>
      </c>
      <c r="S28" s="2"/>
      <c r="T28" s="2">
        <f>SUM(OSRRefT22_1x_0)</f>
        <v>53769.409999999996</v>
      </c>
      <c r="U28" s="2"/>
      <c r="V28" s="6">
        <f t="shared" si="5"/>
        <v>0</v>
      </c>
      <c r="W28" s="2"/>
      <c r="X28" s="2">
        <f t="shared" si="6"/>
        <v>-1636.8099999999904</v>
      </c>
      <c r="Y28" s="2"/>
      <c r="Z28" s="6">
        <f t="shared" si="7"/>
        <v>-3.0441286225755322E-2</v>
      </c>
    </row>
    <row r="29" spans="1:26" s="69" customFormat="1" ht="15" hidden="1" customHeight="1" outlineLevel="2" x14ac:dyDescent="0.3">
      <c r="A29" s="26"/>
      <c r="B29" s="12" t="str">
        <f>CONCATENATE("          ","6004"," - ","STAFF HOURLY")</f>
        <v xml:space="preserve">          6004 - STAFF HOURLY</v>
      </c>
      <c r="C29" s="12"/>
      <c r="D29" s="8">
        <v>5387.78</v>
      </c>
      <c r="E29" s="3"/>
      <c r="F29" s="7">
        <f t="shared" si="0"/>
        <v>0</v>
      </c>
      <c r="G29" s="3"/>
      <c r="H29" s="8">
        <v>5475</v>
      </c>
      <c r="I29" s="3"/>
      <c r="J29" s="7">
        <f t="shared" si="1"/>
        <v>0</v>
      </c>
      <c r="K29" s="3"/>
      <c r="L29" s="8">
        <f t="shared" si="2"/>
        <v>-87.220000000000255</v>
      </c>
      <c r="M29" s="3"/>
      <c r="N29" s="7">
        <f t="shared" si="3"/>
        <v>-1.5930593607305983E-2</v>
      </c>
      <c r="O29" s="12"/>
      <c r="P29" s="8">
        <v>39972.54</v>
      </c>
      <c r="Q29" s="3"/>
      <c r="R29" s="7">
        <f t="shared" si="4"/>
        <v>0</v>
      </c>
      <c r="S29" s="3"/>
      <c r="T29" s="8">
        <v>42080.1</v>
      </c>
      <c r="U29" s="3"/>
      <c r="V29" s="7">
        <f t="shared" si="5"/>
        <v>0</v>
      </c>
      <c r="W29" s="3"/>
      <c r="X29" s="8">
        <f t="shared" si="6"/>
        <v>-2107.5599999999977</v>
      </c>
      <c r="Y29" s="3"/>
      <c r="Z29" s="7">
        <f t="shared" si="7"/>
        <v>-5.0084481738398856E-2</v>
      </c>
    </row>
    <row r="30" spans="1:26" s="69" customFormat="1" ht="15" hidden="1" customHeight="1" outlineLevel="2" x14ac:dyDescent="0.3">
      <c r="A30" s="26"/>
      <c r="B30" s="12" t="str">
        <f>CONCATENATE("          ","6005"," - ","TEMPORARY WAGES-HOURLY")</f>
        <v xml:space="preserve">          6005 - TEMPORARY WAGES-HOURLY</v>
      </c>
      <c r="C30" s="12"/>
      <c r="D30" s="8">
        <v>684.86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684.86</v>
      </c>
      <c r="M30" s="3"/>
      <c r="N30" s="7">
        <f t="shared" si="3"/>
        <v>0</v>
      </c>
      <c r="O30" s="12"/>
      <c r="P30" s="8">
        <v>684.86</v>
      </c>
      <c r="Q30" s="3"/>
      <c r="R30" s="7">
        <f t="shared" si="4"/>
        <v>0</v>
      </c>
      <c r="S30" s="3"/>
      <c r="T30" s="8"/>
      <c r="U30" s="3"/>
      <c r="V30" s="7">
        <f t="shared" si="5"/>
        <v>0</v>
      </c>
      <c r="W30" s="3"/>
      <c r="X30" s="8">
        <f t="shared" si="6"/>
        <v>684.86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","6007"," - ","STUDENT HOURLY")</f>
        <v xml:space="preserve">          6007 - STUDENT HOURLY</v>
      </c>
      <c r="C31" s="12"/>
      <c r="D31" s="8"/>
      <c r="E31" s="3"/>
      <c r="F31" s="7">
        <f t="shared" si="0"/>
        <v>0</v>
      </c>
      <c r="G31" s="3"/>
      <c r="H31" s="8">
        <v>-838</v>
      </c>
      <c r="I31" s="3"/>
      <c r="J31" s="7">
        <f t="shared" si="1"/>
        <v>0</v>
      </c>
      <c r="K31" s="3"/>
      <c r="L31" s="8">
        <f t="shared" si="2"/>
        <v>838</v>
      </c>
      <c r="M31" s="3"/>
      <c r="N31" s="7">
        <f t="shared" si="3"/>
        <v>-1</v>
      </c>
      <c r="O31" s="12"/>
      <c r="P31" s="8">
        <v>0</v>
      </c>
      <c r="Q31" s="3"/>
      <c r="R31" s="7">
        <f t="shared" si="4"/>
        <v>0</v>
      </c>
      <c r="S31" s="3"/>
      <c r="T31" s="8">
        <v>938</v>
      </c>
      <c r="U31" s="3"/>
      <c r="V31" s="7">
        <f t="shared" si="5"/>
        <v>0</v>
      </c>
      <c r="W31" s="3"/>
      <c r="X31" s="8">
        <f t="shared" si="6"/>
        <v>-938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","6008"," - ","STUDENT HOURLY-FICA EXEMPT")</f>
        <v xml:space="preserve">          6008 - STUDENT HOURLY-FICA EXEMPT</v>
      </c>
      <c r="C32" s="12"/>
      <c r="D32" s="8"/>
      <c r="E32" s="3"/>
      <c r="F32" s="7">
        <f t="shared" si="0"/>
        <v>0</v>
      </c>
      <c r="G32" s="3"/>
      <c r="H32" s="8">
        <v>1155.93</v>
      </c>
      <c r="I32" s="3"/>
      <c r="J32" s="7">
        <f t="shared" si="1"/>
        <v>0</v>
      </c>
      <c r="K32" s="3"/>
      <c r="L32" s="8">
        <f t="shared" si="2"/>
        <v>-1155.93</v>
      </c>
      <c r="M32" s="3"/>
      <c r="N32" s="7">
        <f t="shared" si="3"/>
        <v>-1</v>
      </c>
      <c r="O32" s="12"/>
      <c r="P32" s="8">
        <v>11475.2</v>
      </c>
      <c r="Q32" s="3"/>
      <c r="R32" s="7">
        <f t="shared" si="4"/>
        <v>0</v>
      </c>
      <c r="S32" s="3"/>
      <c r="T32" s="8">
        <v>10751.31</v>
      </c>
      <c r="U32" s="3"/>
      <c r="V32" s="7">
        <f t="shared" si="5"/>
        <v>0</v>
      </c>
      <c r="W32" s="3"/>
      <c r="X32" s="8">
        <f t="shared" si="6"/>
        <v>723.89000000000124</v>
      </c>
      <c r="Y32" s="3"/>
      <c r="Z32" s="7">
        <f t="shared" si="7"/>
        <v>6.7330399737334456E-2</v>
      </c>
    </row>
    <row r="33" spans="1:26" s="68" customFormat="1" ht="15" customHeight="1" outlineLevel="1" collapsed="1" x14ac:dyDescent="0.3">
      <c r="A33" s="25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173.21</v>
      </c>
      <c r="E33" s="2"/>
      <c r="F33" s="6">
        <f t="shared" si="0"/>
        <v>0</v>
      </c>
      <c r="G33" s="2"/>
      <c r="H33" s="2">
        <f>SUM(OSRRefH22_2x_0)</f>
        <v>346.42</v>
      </c>
      <c r="I33" s="2"/>
      <c r="J33" s="6">
        <f t="shared" si="1"/>
        <v>0</v>
      </c>
      <c r="K33" s="2"/>
      <c r="L33" s="2">
        <f t="shared" si="2"/>
        <v>-173.21</v>
      </c>
      <c r="M33" s="2"/>
      <c r="N33" s="6">
        <f t="shared" si="3"/>
        <v>-0.5</v>
      </c>
      <c r="O33" s="14"/>
      <c r="P33" s="2">
        <f>SUM(OSRRefP22_2x_0)</f>
        <v>1439.28</v>
      </c>
      <c r="Q33" s="2"/>
      <c r="R33" s="6">
        <f t="shared" si="4"/>
        <v>0</v>
      </c>
      <c r="S33" s="2"/>
      <c r="T33" s="2">
        <f>SUM(OSRRefT22_2x_0)</f>
        <v>1385.68</v>
      </c>
      <c r="U33" s="2"/>
      <c r="V33" s="6">
        <f t="shared" si="5"/>
        <v>0</v>
      </c>
      <c r="W33" s="2"/>
      <c r="X33" s="2">
        <f t="shared" si="6"/>
        <v>53.599999999999909</v>
      </c>
      <c r="Y33" s="2"/>
      <c r="Z33" s="6">
        <f t="shared" si="7"/>
        <v>3.8681369435944739E-2</v>
      </c>
    </row>
    <row r="34" spans="1:26" s="69" customFormat="1" ht="15" hidden="1" customHeight="1" outlineLevel="2" x14ac:dyDescent="0.3">
      <c r="A34" s="26"/>
      <c r="B34" s="12" t="str">
        <f>CONCATENATE("          ","6362"," - ","ADVERTISING EXPENSE")</f>
        <v xml:space="preserve">          6362 - ADVERTISING EXPENSE</v>
      </c>
      <c r="C34" s="12"/>
      <c r="D34" s="8">
        <v>173.21</v>
      </c>
      <c r="E34" s="3"/>
      <c r="F34" s="7">
        <f t="shared" si="0"/>
        <v>0</v>
      </c>
      <c r="G34" s="3"/>
      <c r="H34" s="8">
        <v>346.42</v>
      </c>
      <c r="I34" s="3"/>
      <c r="J34" s="7">
        <f t="shared" si="1"/>
        <v>0</v>
      </c>
      <c r="K34" s="3"/>
      <c r="L34" s="8">
        <f t="shared" si="2"/>
        <v>-173.21</v>
      </c>
      <c r="M34" s="3"/>
      <c r="N34" s="7">
        <f t="shared" si="3"/>
        <v>-0.5</v>
      </c>
      <c r="O34" s="12"/>
      <c r="P34" s="8">
        <v>1439.28</v>
      </c>
      <c r="Q34" s="3"/>
      <c r="R34" s="7">
        <f t="shared" si="4"/>
        <v>0</v>
      </c>
      <c r="S34" s="3"/>
      <c r="T34" s="8">
        <v>1385.68</v>
      </c>
      <c r="U34" s="3"/>
      <c r="V34" s="7">
        <f t="shared" si="5"/>
        <v>0</v>
      </c>
      <c r="W34" s="3"/>
      <c r="X34" s="8">
        <f t="shared" si="6"/>
        <v>53.599999999999909</v>
      </c>
      <c r="Y34" s="3"/>
      <c r="Z34" s="7">
        <f t="shared" si="7"/>
        <v>3.8681369435944739E-2</v>
      </c>
    </row>
    <row r="35" spans="1:26" s="68" customFormat="1" ht="15" customHeight="1" outlineLevel="1" collapsed="1" x14ac:dyDescent="0.3">
      <c r="A35" s="25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0.05</v>
      </c>
      <c r="I35" s="2"/>
      <c r="J35" s="6">
        <f t="shared" si="1"/>
        <v>0</v>
      </c>
      <c r="K35" s="2"/>
      <c r="L35" s="2">
        <f t="shared" si="2"/>
        <v>-0.05</v>
      </c>
      <c r="M35" s="2"/>
      <c r="N35" s="6">
        <f t="shared" si="3"/>
        <v>-1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1898.94</v>
      </c>
      <c r="U35" s="2"/>
      <c r="V35" s="6">
        <f t="shared" si="5"/>
        <v>0</v>
      </c>
      <c r="W35" s="2"/>
      <c r="X35" s="2">
        <f t="shared" si="6"/>
        <v>-1898.94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","6322"," - ","EQUIPMENT DEPRECIATION EXPENSE")</f>
        <v xml:space="preserve">          6322 - EQUIPMENT DEPRECIATION EXPENSE</v>
      </c>
      <c r="C36" s="12"/>
      <c r="D36" s="8"/>
      <c r="E36" s="3"/>
      <c r="F36" s="7">
        <f t="shared" si="0"/>
        <v>0</v>
      </c>
      <c r="G36" s="3"/>
      <c r="H36" s="8">
        <v>0.05</v>
      </c>
      <c r="I36" s="3"/>
      <c r="J36" s="7">
        <f t="shared" si="1"/>
        <v>0</v>
      </c>
      <c r="K36" s="3"/>
      <c r="L36" s="8">
        <f t="shared" si="2"/>
        <v>-0.05</v>
      </c>
      <c r="M36" s="3"/>
      <c r="N36" s="7">
        <f t="shared" si="3"/>
        <v>-1</v>
      </c>
      <c r="O36" s="12"/>
      <c r="P36" s="8"/>
      <c r="Q36" s="3"/>
      <c r="R36" s="7">
        <f t="shared" si="4"/>
        <v>0</v>
      </c>
      <c r="S36" s="3"/>
      <c r="T36" s="8">
        <v>1898.94</v>
      </c>
      <c r="U36" s="3"/>
      <c r="V36" s="7">
        <f t="shared" si="5"/>
        <v>0</v>
      </c>
      <c r="W36" s="3"/>
      <c r="X36" s="8">
        <f t="shared" si="6"/>
        <v>-1898.94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","Repair and Maintenance                            ")</f>
        <v xml:space="preserve">     Repair and Maintenance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63.36</v>
      </c>
      <c r="Q37" s="2"/>
      <c r="R37" s="6">
        <f t="shared" si="4"/>
        <v>0</v>
      </c>
      <c r="S37" s="2"/>
      <c r="T37" s="2">
        <f>SUM(OSRRefT22_4x_0)</f>
        <v>0</v>
      </c>
      <c r="U37" s="2"/>
      <c r="V37" s="6">
        <f t="shared" si="5"/>
        <v>0</v>
      </c>
      <c r="W37" s="2"/>
      <c r="X37" s="2">
        <f t="shared" si="6"/>
        <v>63.36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","6375"," - ","OUTSIDE REPAIRS &amp; MAINTENANCE")</f>
        <v xml:space="preserve">          6375 - OUTSIDE REPAIRS &amp; MAINTENANCE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63.36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63.36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","Supplies                                          ")</f>
        <v xml:space="preserve">     Supplies                                          </v>
      </c>
      <c r="C39" s="14"/>
      <c r="D39" s="2">
        <f>SUM(OSRRefD22_5x_0)</f>
        <v>2.21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2.21</v>
      </c>
      <c r="M39" s="2"/>
      <c r="N39" s="6">
        <f t="shared" si="3"/>
        <v>0</v>
      </c>
      <c r="O39" s="14"/>
      <c r="P39" s="2">
        <f>SUM(OSRRefP22_5x_0)</f>
        <v>13.33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13.33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","6241"," - ","OFFICE EXPENSE")</f>
        <v xml:space="preserve">          6241 - OFFICE EXPENSE</v>
      </c>
      <c r="C40" s="12"/>
      <c r="D40" s="8">
        <v>2.21</v>
      </c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2.21</v>
      </c>
      <c r="M40" s="3"/>
      <c r="N40" s="7">
        <f t="shared" si="3"/>
        <v>0</v>
      </c>
      <c r="O40" s="12"/>
      <c r="P40" s="8">
        <v>13.33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13.33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36</v>
      </c>
      <c r="E41" s="2"/>
      <c r="F41" s="6">
        <f t="shared" si="0"/>
        <v>0</v>
      </c>
      <c r="G41" s="2"/>
      <c r="H41" s="2">
        <f>SUM(OSRRefH22_6x_0)</f>
        <v>36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360.4</v>
      </c>
      <c r="Q41" s="2"/>
      <c r="R41" s="6">
        <f t="shared" si="4"/>
        <v>0</v>
      </c>
      <c r="S41" s="2"/>
      <c r="T41" s="2">
        <f>SUM(OSRRefT22_6x_0)</f>
        <v>252.15</v>
      </c>
      <c r="U41" s="2"/>
      <c r="V41" s="6">
        <f t="shared" si="5"/>
        <v>0</v>
      </c>
      <c r="W41" s="2"/>
      <c r="X41" s="2">
        <f t="shared" si="6"/>
        <v>108.24999999999997</v>
      </c>
      <c r="Y41" s="2"/>
      <c r="Z41" s="6">
        <f t="shared" si="7"/>
        <v>0.42930795161610141</v>
      </c>
    </row>
    <row r="42" spans="1:26" s="69" customFormat="1" ht="15" hidden="1" customHeight="1" outlineLevel="2" x14ac:dyDescent="0.3">
      <c r="A42" s="26"/>
      <c r="B42" s="12" t="str">
        <f>CONCATENATE("          ","6309"," - ","TELEPHONE")</f>
        <v xml:space="preserve">          6309 - TELEPHONE</v>
      </c>
      <c r="C42" s="12"/>
      <c r="D42" s="8">
        <v>36</v>
      </c>
      <c r="E42" s="3"/>
      <c r="F42" s="7">
        <f t="shared" si="0"/>
        <v>0</v>
      </c>
      <c r="G42" s="3"/>
      <c r="H42" s="8">
        <v>36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360.4</v>
      </c>
      <c r="Q42" s="3"/>
      <c r="R42" s="7">
        <f t="shared" si="4"/>
        <v>0</v>
      </c>
      <c r="S42" s="3"/>
      <c r="T42" s="8">
        <v>252.15</v>
      </c>
      <c r="U42" s="3"/>
      <c r="V42" s="7">
        <f t="shared" si="5"/>
        <v>0</v>
      </c>
      <c r="W42" s="3"/>
      <c r="X42" s="8">
        <f t="shared" si="6"/>
        <v>108.24999999999997</v>
      </c>
      <c r="Y42" s="3"/>
      <c r="Z42" s="7">
        <f t="shared" si="7"/>
        <v>0.42930795161610141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7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8" t="s">
        <v>291</v>
      </c>
      <c r="C46" s="28"/>
      <c r="D46" s="23">
        <f>+D16-D18+D44</f>
        <v>-7505.9599999999991</v>
      </c>
      <c r="E46" s="15"/>
      <c r="F46" s="22">
        <f>IF(D$12=0,0,D46/D$12)</f>
        <v>0</v>
      </c>
      <c r="G46" s="15"/>
      <c r="H46" s="23">
        <f>+H16-H18+H44</f>
        <v>-8181.4500000000007</v>
      </c>
      <c r="I46" s="15"/>
      <c r="J46" s="22">
        <f>IF(H$12=0,0,H46/H$12)</f>
        <v>0</v>
      </c>
      <c r="K46" s="17"/>
      <c r="L46" s="23">
        <f>+D46-H46</f>
        <v>675.4900000000016</v>
      </c>
      <c r="M46" s="17"/>
      <c r="N46" s="22">
        <f>IF(H46=0,0,L46/H46)</f>
        <v>-8.2563604251080377E-2</v>
      </c>
      <c r="O46" s="27"/>
      <c r="P46" s="23">
        <f>+P16-P18+P44</f>
        <v>-68394.22</v>
      </c>
      <c r="Q46" s="15"/>
      <c r="R46" s="22">
        <f>IF(P$12=0,0,P46/P$12)</f>
        <v>0</v>
      </c>
      <c r="S46" s="15"/>
      <c r="T46" s="23">
        <f>+T16-T18+T44</f>
        <v>-70827.299999999988</v>
      </c>
      <c r="U46" s="15"/>
      <c r="V46" s="22">
        <f>IF(T$12=0,0,T46/T$12)</f>
        <v>0</v>
      </c>
      <c r="W46" s="17"/>
      <c r="X46" s="23">
        <f>+P46-T46</f>
        <v>2433.0799999999872</v>
      </c>
      <c r="Y46" s="17"/>
      <c r="Z46" s="22">
        <f>IF(T46=0,0,X46/T46)</f>
        <v>-3.4352290712761711E-2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293</v>
      </c>
      <c r="C50" s="28"/>
      <c r="D50" s="33">
        <f>+D46-D48</f>
        <v>-7505.9599999999991</v>
      </c>
      <c r="E50" s="15"/>
      <c r="F50" s="34">
        <f>IF(D$12=0,0,D50/D$12)</f>
        <v>0</v>
      </c>
      <c r="G50" s="15"/>
      <c r="H50" s="33">
        <f>+H46-H48</f>
        <v>-8181.4500000000007</v>
      </c>
      <c r="I50" s="15"/>
      <c r="J50" s="34">
        <f>IF(H$12=0,0,H50/H$12)</f>
        <v>0</v>
      </c>
      <c r="K50" s="17"/>
      <c r="L50" s="33">
        <f>D50-H50</f>
        <v>675.4900000000016</v>
      </c>
      <c r="M50" s="17"/>
      <c r="N50" s="34">
        <f>IF(H50=0,0,L50/H50)</f>
        <v>-8.2563604251080377E-2</v>
      </c>
      <c r="O50" s="27"/>
      <c r="P50" s="33">
        <f>+P46-P48</f>
        <v>-68394.22</v>
      </c>
      <c r="Q50" s="15"/>
      <c r="R50" s="34">
        <f>IF(P$12=0,0,P50/P$12)</f>
        <v>0</v>
      </c>
      <c r="S50" s="15"/>
      <c r="T50" s="33">
        <f>+T46-T48</f>
        <v>-70827.299999999988</v>
      </c>
      <c r="U50" s="15"/>
      <c r="V50" s="34">
        <f>IF(T$12=0,0,T50/T$12)</f>
        <v>0</v>
      </c>
      <c r="W50" s="17"/>
      <c r="X50" s="33">
        <f>P50-T50</f>
        <v>2433.0799999999872</v>
      </c>
      <c r="Y50" s="17"/>
      <c r="Z50" s="34">
        <f>IF(T50=0,0,X50/T50)</f>
        <v>-3.4352290712761711E-2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8" t="s">
        <v>296</v>
      </c>
      <c r="C53" s="28"/>
      <c r="D53" s="35">
        <f>SUM(D50:D52)</f>
        <v>-7505.9599999999991</v>
      </c>
      <c r="E53" s="15"/>
      <c r="F53" s="29">
        <f>IF(D$12=0,0,D53/D$12)</f>
        <v>0</v>
      </c>
      <c r="G53" s="15"/>
      <c r="H53" s="35">
        <f>SUM(H50:H52)</f>
        <v>-8181.4500000000007</v>
      </c>
      <c r="I53" s="15"/>
      <c r="J53" s="29">
        <f>IF(H$12=0,0,H53/H$12)</f>
        <v>0</v>
      </c>
      <c r="K53" s="17"/>
      <c r="L53" s="35">
        <f>+D53-H53</f>
        <v>675.4900000000016</v>
      </c>
      <c r="M53" s="17"/>
      <c r="N53" s="29">
        <f>IF(H53=0,0,L53/H53)</f>
        <v>-8.2563604251080377E-2</v>
      </c>
      <c r="O53" s="27"/>
      <c r="P53" s="35">
        <f>SUM(P50:P52)</f>
        <v>-68394.22</v>
      </c>
      <c r="Q53" s="15"/>
      <c r="R53" s="29">
        <f>IF(P$12=0,0,P53/P$12)</f>
        <v>0</v>
      </c>
      <c r="S53" s="15"/>
      <c r="T53" s="35">
        <f>SUM(T50:T52)</f>
        <v>-70827.299999999988</v>
      </c>
      <c r="U53" s="15"/>
      <c r="V53" s="29">
        <f>IF(T$12=0,0,T53/T$12)</f>
        <v>0</v>
      </c>
      <c r="W53" s="17"/>
      <c r="X53" s="35">
        <f>+P53-T53</f>
        <v>2433.0799999999872</v>
      </c>
      <c r="Y53" s="17"/>
      <c r="Z53" s="29">
        <f>IF(T53=0,0,X53/T53)</f>
        <v>-3.4352290712761711E-2</v>
      </c>
    </row>
    <row r="54" spans="1:26" ht="15" customHeight="1" x14ac:dyDescent="0.3">
      <c r="A54" s="10"/>
      <c r="C54" s="10"/>
      <c r="D54" s="18"/>
      <c r="E54" s="18"/>
      <c r="G54" s="18"/>
      <c r="H54" s="18"/>
      <c r="I54" s="18"/>
      <c r="J54" s="41"/>
      <c r="K54" s="18"/>
      <c r="L54" s="18"/>
      <c r="M54" s="18"/>
      <c r="P54" s="18"/>
      <c r="Q54" s="18"/>
      <c r="R54" s="41"/>
      <c r="S54" s="18"/>
      <c r="T54" s="18"/>
      <c r="U54" s="18"/>
      <c r="V54" s="41"/>
      <c r="W54" s="18"/>
      <c r="X54" s="18"/>
    </row>
    <row r="55" spans="1:26" ht="15" customHeight="1" x14ac:dyDescent="0.3">
      <c r="A55" s="10"/>
      <c r="B55" s="50">
        <v>44634.887810300927</v>
      </c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3">
      <c r="A56" s="10"/>
      <c r="B56" s="58" t="s">
        <v>297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3">
      <c r="A57" s="10"/>
      <c r="B57" s="56"/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3"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2B2ED-63BE-81DB-A732-686572F68037}">
  <sheetPr>
    <tabColor rgb="FFFFC000"/>
    <outlinePr summaryBelow="0" summaryRight="0"/>
  </sheetPr>
  <dimension ref="A2:Z24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872531.82</v>
      </c>
      <c r="E12" s="5"/>
      <c r="F12" s="13"/>
      <c r="G12" s="5"/>
      <c r="H12" s="5">
        <f>SUM(OSRRefH13x_0)</f>
        <v>202974.15000000002</v>
      </c>
      <c r="I12" s="5"/>
      <c r="J12" s="13"/>
      <c r="K12" s="5"/>
      <c r="L12" s="5">
        <f t="shared" ref="L12:L43" si="0">+D12-H12</f>
        <v>669557.66999999993</v>
      </c>
      <c r="M12" s="5"/>
      <c r="N12" s="13">
        <f t="shared" ref="N12:N43" si="1">IF(H12=0,0,L12/H12)</f>
        <v>3.2987337057452875</v>
      </c>
      <c r="O12" s="11"/>
      <c r="P12" s="5">
        <f>SUM(OSRRefP13x_0)</f>
        <v>5370457.3600000003</v>
      </c>
      <c r="Q12" s="5"/>
      <c r="R12" s="13"/>
      <c r="S12" s="5"/>
      <c r="T12" s="5">
        <f>SUM(OSRRefT13x_0)</f>
        <v>4082999.0099999993</v>
      </c>
      <c r="U12" s="5"/>
      <c r="V12" s="13"/>
      <c r="W12" s="5"/>
      <c r="X12" s="5">
        <f t="shared" ref="X12:X43" si="2">+P12-T12</f>
        <v>1287458.350000001</v>
      </c>
      <c r="Y12" s="5"/>
      <c r="Z12" s="13">
        <f t="shared" ref="Z12:Z43" si="3">IF(T12=0,0,X12/T12)</f>
        <v>0.31532173944857295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--680730.71</f>
        <v>680730.71</v>
      </c>
      <c r="E13" s="3"/>
      <c r="F13" s="20"/>
      <c r="G13" s="3"/>
      <c r="H13" s="3">
        <f>-7353.1</f>
        <v>-7353.1</v>
      </c>
      <c r="I13" s="3"/>
      <c r="J13" s="20"/>
      <c r="K13" s="3"/>
      <c r="L13" s="3">
        <f t="shared" si="0"/>
        <v>688083.80999999994</v>
      </c>
      <c r="M13" s="3"/>
      <c r="N13" s="20">
        <f t="shared" si="1"/>
        <v>-93.577376888659188</v>
      </c>
      <c r="O13" s="12"/>
      <c r="P13" s="3">
        <f>--4464976.61</f>
        <v>4464976.6100000003</v>
      </c>
      <c r="Q13" s="3"/>
      <c r="R13" s="20"/>
      <c r="S13" s="3"/>
      <c r="T13" s="3">
        <f>-108361.13</f>
        <v>-108361.13</v>
      </c>
      <c r="U13" s="3"/>
      <c r="V13" s="20"/>
      <c r="W13" s="3"/>
      <c r="X13" s="3">
        <f t="shared" si="2"/>
        <v>4573337.74</v>
      </c>
      <c r="Y13" s="3"/>
      <c r="Z13" s="20">
        <f t="shared" si="3"/>
        <v>-42.20459624221342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--34627.67</f>
        <v>34627.67</v>
      </c>
      <c r="I14" s="3"/>
      <c r="J14" s="20"/>
      <c r="K14" s="3"/>
      <c r="L14" s="3">
        <f t="shared" si="0"/>
        <v>-34627.67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--1224724.01</f>
        <v>1224724.01</v>
      </c>
      <c r="U14" s="3"/>
      <c r="V14" s="20"/>
      <c r="W14" s="3"/>
      <c r="X14" s="3">
        <f t="shared" si="2"/>
        <v>-1224724.01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--12732.98</f>
        <v>12732.98</v>
      </c>
      <c r="I15" s="3"/>
      <c r="J15" s="20"/>
      <c r="K15" s="3"/>
      <c r="L15" s="3">
        <f t="shared" si="0"/>
        <v>-12732.98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--575134.48</f>
        <v>575134.48</v>
      </c>
      <c r="U15" s="3"/>
      <c r="V15" s="20"/>
      <c r="W15" s="3"/>
      <c r="X15" s="3">
        <f t="shared" si="2"/>
        <v>-575134.48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--41.38</f>
        <v>41.38</v>
      </c>
      <c r="I21" s="3"/>
      <c r="J21" s="20"/>
      <c r="K21" s="3"/>
      <c r="L21" s="3">
        <f t="shared" si="0"/>
        <v>-41.38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--448.38</f>
        <v>448.38</v>
      </c>
      <c r="U21" s="3"/>
      <c r="V21" s="20"/>
      <c r="W21" s="3"/>
      <c r="X21" s="3">
        <f t="shared" si="2"/>
        <v>-448.38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--5808.1</f>
        <v>5808.1</v>
      </c>
      <c r="I22" s="3"/>
      <c r="J22" s="20"/>
      <c r="K22" s="3"/>
      <c r="L22" s="3">
        <f t="shared" si="0"/>
        <v>-5808.1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--54484.32</f>
        <v>54484.32</v>
      </c>
      <c r="U22" s="3"/>
      <c r="V22" s="20"/>
      <c r="W22" s="3"/>
      <c r="X22" s="3">
        <f t="shared" si="2"/>
        <v>-54484.32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--1924.8</f>
        <v>1924.8</v>
      </c>
      <c r="I23" s="3"/>
      <c r="J23" s="20"/>
      <c r="K23" s="3"/>
      <c r="L23" s="3">
        <f t="shared" si="0"/>
        <v>-1924.8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--40876.62</f>
        <v>40876.620000000003</v>
      </c>
      <c r="U23" s="3"/>
      <c r="V23" s="20"/>
      <c r="W23" s="3"/>
      <c r="X23" s="3">
        <f t="shared" si="2"/>
        <v>-40876.620000000003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--593.6</f>
        <v>593.6</v>
      </c>
      <c r="I24" s="3"/>
      <c r="J24" s="20"/>
      <c r="K24" s="3"/>
      <c r="L24" s="3">
        <f t="shared" si="0"/>
        <v>-593.6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--3180.84</f>
        <v>3180.84</v>
      </c>
      <c r="U24" s="3"/>
      <c r="V24" s="20"/>
      <c r="W24" s="3"/>
      <c r="X24" s="3">
        <f t="shared" si="2"/>
        <v>-3180.84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--73245.08</f>
        <v>73245.08</v>
      </c>
      <c r="I27" s="3"/>
      <c r="J27" s="20"/>
      <c r="K27" s="3"/>
      <c r="L27" s="3">
        <f t="shared" si="0"/>
        <v>-73245.08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--671347.98</f>
        <v>671347.98</v>
      </c>
      <c r="U27" s="3"/>
      <c r="V27" s="20"/>
      <c r="W27" s="3"/>
      <c r="X27" s="3">
        <f t="shared" si="2"/>
        <v>-671347.98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--27100.04</f>
        <v>27100.04</v>
      </c>
      <c r="I28" s="3"/>
      <c r="J28" s="20"/>
      <c r="K28" s="3"/>
      <c r="L28" s="3">
        <f t="shared" si="0"/>
        <v>-27100.04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--276199.31</f>
        <v>276199.31</v>
      </c>
      <c r="U28" s="3"/>
      <c r="V28" s="20"/>
      <c r="W28" s="3"/>
      <c r="X28" s="3">
        <f t="shared" si="2"/>
        <v>-276199.31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--4794.04</f>
        <v>4794.04</v>
      </c>
      <c r="I29" s="3"/>
      <c r="J29" s="20"/>
      <c r="K29" s="3"/>
      <c r="L29" s="3">
        <f t="shared" si="0"/>
        <v>-4794.04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--78994.92</f>
        <v>78994.92</v>
      </c>
      <c r="U29" s="3"/>
      <c r="V29" s="20"/>
      <c r="W29" s="3"/>
      <c r="X29" s="3">
        <f t="shared" si="2"/>
        <v>-78994.92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--6195.85</f>
        <v>6195.85</v>
      </c>
      <c r="I30" s="3"/>
      <c r="J30" s="20"/>
      <c r="K30" s="3"/>
      <c r="L30" s="3">
        <f t="shared" si="0"/>
        <v>-6195.85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--124150.66</f>
        <v>124150.66</v>
      </c>
      <c r="U30" s="3"/>
      <c r="V30" s="20"/>
      <c r="W30" s="3"/>
      <c r="X30" s="3">
        <f t="shared" si="2"/>
        <v>-124150.66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--2036.78</f>
        <v>2036.78</v>
      </c>
      <c r="I31" s="3"/>
      <c r="J31" s="20"/>
      <c r="K31" s="3"/>
      <c r="L31" s="3">
        <f t="shared" si="0"/>
        <v>-2036.78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--29572.4</f>
        <v>29572.400000000001</v>
      </c>
      <c r="U31" s="3"/>
      <c r="V31" s="20"/>
      <c r="W31" s="3"/>
      <c r="X31" s="3">
        <f t="shared" si="2"/>
        <v>-29572.400000000001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--10039.9</f>
        <v>10039.9</v>
      </c>
      <c r="I32" s="3"/>
      <c r="J32" s="20"/>
      <c r="K32" s="3"/>
      <c r="L32" s="3">
        <f t="shared" si="0"/>
        <v>-10039.9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--135489.57</f>
        <v>135489.57</v>
      </c>
      <c r="U32" s="3"/>
      <c r="V32" s="20"/>
      <c r="W32" s="3"/>
      <c r="X32" s="3">
        <f t="shared" si="2"/>
        <v>-135489.57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--25.17</f>
        <v>25.17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25.17</v>
      </c>
      <c r="M33" s="3"/>
      <c r="N33" s="20">
        <f t="shared" si="1"/>
        <v>0</v>
      </c>
      <c r="O33" s="12"/>
      <c r="P33" s="3">
        <f>--25.17</f>
        <v>25.17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25.17</v>
      </c>
      <c r="Y33" s="3"/>
      <c r="Z33" s="20">
        <f t="shared" si="3"/>
        <v>0</v>
      </c>
    </row>
    <row r="34" spans="1:26" s="69" customFormat="1" ht="15" hidden="1" customHeight="1" outlineLevel="1" x14ac:dyDescent="0.3">
      <c r="A34" s="42"/>
      <c r="B34" s="12" t="str">
        <f>CONCATENATE("          ","4053"," - ","TAXABLE SALES-FOOD")</f>
        <v xml:space="preserve">          4053 - TAXABLE SALES-FOOD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--698.72</f>
        <v>698.72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698.72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","4081"," - ","TAXABLE SALES-ELECTRONICS")</f>
        <v xml:space="preserve">          4081 - TAXABLE SALES-ELECTRONICS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--71.95</f>
        <v>71.95</v>
      </c>
      <c r="U35" s="3"/>
      <c r="V35" s="20"/>
      <c r="W35" s="3"/>
      <c r="X35" s="3">
        <f t="shared" si="2"/>
        <v>-71.95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","4083"," - ","TAXABLE SALES-COMPUTER EQUIPME")</f>
        <v xml:space="preserve">          4083 - TAXABLE SALES-COMPUTER EQUIPME</v>
      </c>
      <c r="C36" s="12"/>
      <c r="D36" s="3">
        <f>0</f>
        <v>0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0</v>
      </c>
      <c r="M36" s="3"/>
      <c r="N36" s="20">
        <f t="shared" si="1"/>
        <v>0</v>
      </c>
      <c r="O36" s="12"/>
      <c r="P36" s="3">
        <f>0</f>
        <v>0</v>
      </c>
      <c r="Q36" s="3"/>
      <c r="R36" s="20"/>
      <c r="S36" s="3"/>
      <c r="T36" s="3">
        <f>--9.99</f>
        <v>9.99</v>
      </c>
      <c r="U36" s="3"/>
      <c r="V36" s="20"/>
      <c r="W36" s="3"/>
      <c r="X36" s="3">
        <f t="shared" si="2"/>
        <v>-9.99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--139.85</f>
        <v>139.85</v>
      </c>
      <c r="I37" s="3"/>
      <c r="J37" s="20"/>
      <c r="K37" s="3"/>
      <c r="L37" s="3">
        <f t="shared" si="0"/>
        <v>-139.85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--139.85</f>
        <v>139.85</v>
      </c>
      <c r="U37" s="3"/>
      <c r="V37" s="20"/>
      <c r="W37" s="3"/>
      <c r="X37" s="3">
        <f t="shared" si="2"/>
        <v>-139.85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--225320.19</f>
        <v>225320.19</v>
      </c>
      <c r="E38" s="3"/>
      <c r="F38" s="20"/>
      <c r="G38" s="3"/>
      <c r="H38" s="3">
        <f>--5617.7</f>
        <v>5617.7</v>
      </c>
      <c r="I38" s="3"/>
      <c r="J38" s="20"/>
      <c r="K38" s="3"/>
      <c r="L38" s="3">
        <f t="shared" si="0"/>
        <v>219702.49</v>
      </c>
      <c r="M38" s="3"/>
      <c r="N38" s="20">
        <f t="shared" si="1"/>
        <v>39.108975203375046</v>
      </c>
      <c r="O38" s="12"/>
      <c r="P38" s="3">
        <f>--1149858.17</f>
        <v>1149858.17</v>
      </c>
      <c r="Q38" s="3"/>
      <c r="R38" s="20"/>
      <c r="S38" s="3"/>
      <c r="T38" s="3">
        <f>--284173.56</f>
        <v>284173.56</v>
      </c>
      <c r="U38" s="3"/>
      <c r="V38" s="20"/>
      <c r="W38" s="3"/>
      <c r="X38" s="3">
        <f t="shared" si="2"/>
        <v>865684.60999999987</v>
      </c>
      <c r="Y38" s="3"/>
      <c r="Z38" s="20">
        <f t="shared" si="3"/>
        <v>3.0463235566320805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--6785.91</f>
        <v>6785.91</v>
      </c>
      <c r="I39" s="3"/>
      <c r="J39" s="20"/>
      <c r="K39" s="3"/>
      <c r="L39" s="3">
        <f t="shared" si="0"/>
        <v>-6785.91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--111011.54</f>
        <v>111011.54</v>
      </c>
      <c r="U39" s="3"/>
      <c r="V39" s="20"/>
      <c r="W39" s="3"/>
      <c r="X39" s="3">
        <f t="shared" si="2"/>
        <v>-111011.54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--3426.05</f>
        <v>3426.05</v>
      </c>
      <c r="I40" s="3"/>
      <c r="J40" s="20"/>
      <c r="K40" s="3"/>
      <c r="L40" s="3">
        <f t="shared" si="0"/>
        <v>-3426.05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--46387.37</f>
        <v>46387.37</v>
      </c>
      <c r="U40" s="3"/>
      <c r="V40" s="20"/>
      <c r="W40" s="3"/>
      <c r="X40" s="3">
        <f t="shared" si="2"/>
        <v>-46387.37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--17705.92</f>
        <v>17705.919999999998</v>
      </c>
      <c r="I42" s="3"/>
      <c r="J42" s="20"/>
      <c r="K42" s="3"/>
      <c r="L42" s="3">
        <f t="shared" si="0"/>
        <v>-17705.919999999998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--475874.05</f>
        <v>475874.05</v>
      </c>
      <c r="U42" s="3"/>
      <c r="V42" s="20"/>
      <c r="W42" s="3"/>
      <c r="X42" s="3">
        <f t="shared" si="2"/>
        <v>-475874.05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--3150</f>
        <v>3150</v>
      </c>
      <c r="I43" s="3"/>
      <c r="J43" s="20"/>
      <c r="K43" s="3"/>
      <c r="L43" s="3">
        <f t="shared" si="0"/>
        <v>-3150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--10139.25</f>
        <v>10139.25</v>
      </c>
      <c r="U43" s="3"/>
      <c r="V43" s="20"/>
      <c r="W43" s="3"/>
      <c r="X43" s="3">
        <f t="shared" si="2"/>
        <v>-10139.25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--472.19</f>
        <v>472.19</v>
      </c>
      <c r="I46" s="3"/>
      <c r="J46" s="20"/>
      <c r="K46" s="3"/>
      <c r="L46" s="3">
        <f t="shared" si="4"/>
        <v>-472.19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--6217.36</f>
        <v>6217.36</v>
      </c>
      <c r="U46" s="3"/>
      <c r="V46" s="20"/>
      <c r="W46" s="3"/>
      <c r="X46" s="3">
        <f t="shared" si="6"/>
        <v>-6217.36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--9.08</f>
        <v>9.08</v>
      </c>
      <c r="I47" s="3"/>
      <c r="J47" s="20"/>
      <c r="K47" s="3"/>
      <c r="L47" s="3">
        <f t="shared" si="4"/>
        <v>-9.08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--38.58</f>
        <v>38.58</v>
      </c>
      <c r="U47" s="3"/>
      <c r="V47" s="20"/>
      <c r="W47" s="3"/>
      <c r="X47" s="3">
        <f t="shared" si="6"/>
        <v>-38.58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--934.88</f>
        <v>934.88</v>
      </c>
      <c r="I48" s="3"/>
      <c r="J48" s="20"/>
      <c r="K48" s="3"/>
      <c r="L48" s="3">
        <f t="shared" si="4"/>
        <v>-934.88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--9575.15</f>
        <v>9575.15</v>
      </c>
      <c r="U48" s="3"/>
      <c r="V48" s="20"/>
      <c r="W48" s="3"/>
      <c r="X48" s="3">
        <f t="shared" si="6"/>
        <v>-9575.15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--2054.37</f>
        <v>2054.37</v>
      </c>
      <c r="U49" s="3"/>
      <c r="V49" s="20"/>
      <c r="W49" s="3"/>
      <c r="X49" s="3">
        <f t="shared" si="6"/>
        <v>-2054.37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--1947.86</f>
        <v>1947.86</v>
      </c>
      <c r="I53" s="3"/>
      <c r="J53" s="20"/>
      <c r="K53" s="3"/>
      <c r="L53" s="3">
        <f t="shared" si="4"/>
        <v>-1947.86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--115125.28</f>
        <v>115125.28</v>
      </c>
      <c r="U53" s="3"/>
      <c r="V53" s="20"/>
      <c r="W53" s="3"/>
      <c r="X53" s="3">
        <f t="shared" si="6"/>
        <v>-115125.28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--671.25</f>
        <v>671.25</v>
      </c>
      <c r="I54" s="3"/>
      <c r="J54" s="20"/>
      <c r="K54" s="3"/>
      <c r="L54" s="3">
        <f t="shared" si="4"/>
        <v>-671.25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--8513.02</f>
        <v>8513.02</v>
      </c>
      <c r="U54" s="3"/>
      <c r="V54" s="20"/>
      <c r="W54" s="3"/>
      <c r="X54" s="3">
        <f t="shared" si="6"/>
        <v>-8513.02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--4.58</f>
        <v>4.58</v>
      </c>
      <c r="I55" s="3"/>
      <c r="J55" s="20"/>
      <c r="K55" s="3"/>
      <c r="L55" s="3">
        <f t="shared" si="4"/>
        <v>-4.58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--2264.47</f>
        <v>2264.4699999999998</v>
      </c>
      <c r="U55" s="3"/>
      <c r="V55" s="20"/>
      <c r="W55" s="3"/>
      <c r="X55" s="3">
        <f t="shared" si="6"/>
        <v>-2264.4699999999998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--149.92</f>
        <v>149.91999999999999</v>
      </c>
      <c r="I56" s="3"/>
      <c r="J56" s="20"/>
      <c r="K56" s="3"/>
      <c r="L56" s="3">
        <f t="shared" si="4"/>
        <v>-149.91999999999999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--2119.66</f>
        <v>2119.66</v>
      </c>
      <c r="U56" s="3"/>
      <c r="V56" s="20"/>
      <c r="W56" s="3"/>
      <c r="X56" s="3">
        <f t="shared" si="6"/>
        <v>-2119.66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--39.95</f>
        <v>39.950000000000003</v>
      </c>
      <c r="I57" s="3"/>
      <c r="J57" s="20"/>
      <c r="K57" s="3"/>
      <c r="L57" s="3">
        <f t="shared" si="4"/>
        <v>-39.950000000000003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--649.35</f>
        <v>649.35</v>
      </c>
      <c r="U57" s="3"/>
      <c r="V57" s="20"/>
      <c r="W57" s="3"/>
      <c r="X57" s="3">
        <f t="shared" si="6"/>
        <v>-649.35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--53716.09</f>
        <v>53716.09</v>
      </c>
      <c r="U58" s="3"/>
      <c r="V58" s="20"/>
      <c r="W58" s="3"/>
      <c r="X58" s="3">
        <f t="shared" si="6"/>
        <v>-53716.09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--67.8</f>
        <v>67.8</v>
      </c>
      <c r="I59" s="3"/>
      <c r="J59" s="20"/>
      <c r="K59" s="3"/>
      <c r="L59" s="3">
        <f t="shared" si="4"/>
        <v>-67.8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--208.4</f>
        <v>208.4</v>
      </c>
      <c r="U59" s="3"/>
      <c r="V59" s="20"/>
      <c r="W59" s="3"/>
      <c r="X59" s="3">
        <f t="shared" si="6"/>
        <v>-208.4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--17</f>
        <v>17</v>
      </c>
      <c r="I60" s="3"/>
      <c r="J60" s="20"/>
      <c r="K60" s="3"/>
      <c r="L60" s="3">
        <f t="shared" si="4"/>
        <v>-17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--132.5</f>
        <v>132.5</v>
      </c>
      <c r="U60" s="3"/>
      <c r="V60" s="20"/>
      <c r="W60" s="3"/>
      <c r="X60" s="3">
        <f t="shared" si="6"/>
        <v>-132.5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","4151"," - ","NON-TAXABLE SALES-FOOD")</f>
        <v xml:space="preserve">          4151 - NON-TAXABLE SALES-FOOD</v>
      </c>
      <c r="C61" s="12"/>
      <c r="D61" s="3">
        <f>--206.32</f>
        <v>206.32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206.32</v>
      </c>
      <c r="M61" s="3"/>
      <c r="N61" s="20">
        <f t="shared" si="5"/>
        <v>0</v>
      </c>
      <c r="O61" s="12"/>
      <c r="P61" s="3">
        <f>--206.32</f>
        <v>206.32</v>
      </c>
      <c r="Q61" s="3"/>
      <c r="R61" s="20"/>
      <c r="S61" s="3"/>
      <c r="T61" s="3">
        <f>0</f>
        <v>0</v>
      </c>
      <c r="U61" s="3"/>
      <c r="V61" s="20"/>
      <c r="W61" s="3"/>
      <c r="X61" s="3">
        <f t="shared" si="6"/>
        <v>206.32</v>
      </c>
      <c r="Y61" s="3"/>
      <c r="Z61" s="20">
        <f t="shared" si="7"/>
        <v>0</v>
      </c>
    </row>
    <row r="62" spans="1:26" s="69" customFormat="1" ht="15" hidden="1" customHeight="1" outlineLevel="1" x14ac:dyDescent="0.3">
      <c r="A62" s="42"/>
      <c r="B62" s="12" t="str">
        <f>CONCATENATE("          ","4153"," - ","NON-TAXABLE SALES-FOOD")</f>
        <v xml:space="preserve">          4153 - NON-TAXABLE SALES-FOOD</v>
      </c>
      <c r="C62" s="12"/>
      <c r="D62" s="3">
        <f>0</f>
        <v>0</v>
      </c>
      <c r="E62" s="3"/>
      <c r="F62" s="20"/>
      <c r="G62" s="3"/>
      <c r="H62" s="3">
        <f>--134</f>
        <v>134</v>
      </c>
      <c r="I62" s="3"/>
      <c r="J62" s="20"/>
      <c r="K62" s="3"/>
      <c r="L62" s="3">
        <f t="shared" si="4"/>
        <v>-134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--244</f>
        <v>244</v>
      </c>
      <c r="U62" s="3"/>
      <c r="V62" s="20"/>
      <c r="W62" s="3"/>
      <c r="X62" s="3">
        <f t="shared" si="6"/>
        <v>-244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","4200"," - ","TAXABLE RETURNS")</f>
        <v xml:space="preserve">          4200 - TAXABLE RETURNS</v>
      </c>
      <c r="C63" s="12"/>
      <c r="D63" s="3">
        <f>-18404.3</f>
        <v>-18404.3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-18404.3</v>
      </c>
      <c r="M63" s="3"/>
      <c r="N63" s="20">
        <f t="shared" si="5"/>
        <v>0</v>
      </c>
      <c r="O63" s="12"/>
      <c r="P63" s="3">
        <f>-131513.33</f>
        <v>-131513.32999999999</v>
      </c>
      <c r="Q63" s="3"/>
      <c r="R63" s="20"/>
      <c r="S63" s="3"/>
      <c r="T63" s="3">
        <f>0</f>
        <v>0</v>
      </c>
      <c r="U63" s="3"/>
      <c r="V63" s="20"/>
      <c r="W63" s="3"/>
      <c r="X63" s="3">
        <f t="shared" si="6"/>
        <v>-131513.32999999999</v>
      </c>
      <c r="Y63" s="3"/>
      <c r="Z63" s="20">
        <f t="shared" si="7"/>
        <v>0</v>
      </c>
    </row>
    <row r="64" spans="1:26" s="69" customFormat="1" ht="15" hidden="1" customHeight="1" outlineLevel="1" x14ac:dyDescent="0.3">
      <c r="A64" s="42"/>
      <c r="B64" s="12" t="str">
        <f>CONCATENATE("          ","4201"," - ","SALES RETURN TAXABLE-NEW TEXT")</f>
        <v xml:space="preserve">          4201 - SALES RETURN TAXABLE-NEW TEXT</v>
      </c>
      <c r="C64" s="12"/>
      <c r="D64" s="3">
        <f>0</f>
        <v>0</v>
      </c>
      <c r="E64" s="3"/>
      <c r="F64" s="20"/>
      <c r="G64" s="3"/>
      <c r="H64" s="3">
        <f>-2146.49</f>
        <v>-2146.4899999999998</v>
      </c>
      <c r="I64" s="3"/>
      <c r="J64" s="20"/>
      <c r="K64" s="3"/>
      <c r="L64" s="3">
        <f t="shared" si="4"/>
        <v>2146.4899999999998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-50664.23</f>
        <v>-50664.23</v>
      </c>
      <c r="U64" s="3"/>
      <c r="V64" s="20"/>
      <c r="W64" s="3"/>
      <c r="X64" s="3">
        <f t="shared" si="6"/>
        <v>50664.23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","4202"," - ","SALES RETURN TAXABLE-USED TEXT")</f>
        <v xml:space="preserve">          4202 - SALES RETURN TAXABLE-USED TEXT</v>
      </c>
      <c r="C65" s="12"/>
      <c r="D65" s="3">
        <f>0</f>
        <v>0</v>
      </c>
      <c r="E65" s="3"/>
      <c r="F65" s="20"/>
      <c r="G65" s="3"/>
      <c r="H65" s="3">
        <f>-1199.21</f>
        <v>-1199.21</v>
      </c>
      <c r="I65" s="3"/>
      <c r="J65" s="20"/>
      <c r="K65" s="3"/>
      <c r="L65" s="3">
        <f t="shared" si="4"/>
        <v>1199.21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-19735.51</f>
        <v>-19735.509999999998</v>
      </c>
      <c r="U65" s="3"/>
      <c r="V65" s="20"/>
      <c r="W65" s="3"/>
      <c r="X65" s="3">
        <f t="shared" si="6"/>
        <v>19735.509999999998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","4204"," - ","SALES RETURN TAXABLE-DIGITAL T")</f>
        <v xml:space="preserve">          4204 - SALES RETURN TAXABLE-DIGITAL T</v>
      </c>
      <c r="C66" s="12"/>
      <c r="D66" s="3">
        <f>0</f>
        <v>0</v>
      </c>
      <c r="E66" s="3"/>
      <c r="F66" s="20"/>
      <c r="G66" s="3"/>
      <c r="H66" s="3">
        <f>-132.25</f>
        <v>-132.25</v>
      </c>
      <c r="I66" s="3"/>
      <c r="J66" s="20"/>
      <c r="K66" s="3"/>
      <c r="L66" s="3">
        <f t="shared" si="4"/>
        <v>132.25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-1763.1</f>
        <v>-1763.1</v>
      </c>
      <c r="U66" s="3"/>
      <c r="V66" s="20"/>
      <c r="W66" s="3"/>
      <c r="X66" s="3">
        <f t="shared" si="6"/>
        <v>1763.1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","4213"," - ","NON-TAXABLE SALES-TRADE BOOKS")</f>
        <v xml:space="preserve">          4213 - NON-TAXABLE SALES-TRADE BOOKS</v>
      </c>
      <c r="C67" s="12"/>
      <c r="D67" s="3">
        <f>0</f>
        <v>0</v>
      </c>
      <c r="E67" s="3"/>
      <c r="F67" s="20"/>
      <c r="G67" s="3"/>
      <c r="H67" s="3">
        <f>-69.93</f>
        <v>-69.930000000000007</v>
      </c>
      <c r="I67" s="3"/>
      <c r="J67" s="20"/>
      <c r="K67" s="3"/>
      <c r="L67" s="3">
        <f t="shared" si="4"/>
        <v>69.930000000000007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-69.93</f>
        <v>-69.930000000000007</v>
      </c>
      <c r="U67" s="3"/>
      <c r="V67" s="20"/>
      <c r="W67" s="3"/>
      <c r="X67" s="3">
        <f t="shared" si="6"/>
        <v>69.930000000000007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","4226"," - ","SALES RETURN TAXABLE-WRITING I")</f>
        <v xml:space="preserve">          4226 - SALES RETURN TAXABLE-WRITING I</v>
      </c>
      <c r="C68" s="12"/>
      <c r="D68" s="3">
        <f>0</f>
        <v>0</v>
      </c>
      <c r="E68" s="3"/>
      <c r="F68" s="20"/>
      <c r="G68" s="3"/>
      <c r="H68" s="3">
        <f>0</f>
        <v>0</v>
      </c>
      <c r="I68" s="3"/>
      <c r="J68" s="20"/>
      <c r="K68" s="3"/>
      <c r="L68" s="3">
        <f t="shared" si="4"/>
        <v>0</v>
      </c>
      <c r="M68" s="3"/>
      <c r="N68" s="20">
        <f t="shared" si="5"/>
        <v>0</v>
      </c>
      <c r="O68" s="12"/>
      <c r="P68" s="3">
        <f>0</f>
        <v>0</v>
      </c>
      <c r="Q68" s="3"/>
      <c r="R68" s="20"/>
      <c r="S68" s="3"/>
      <c r="T68" s="3">
        <f>-34.23</f>
        <v>-34.229999999999997</v>
      </c>
      <c r="U68" s="3"/>
      <c r="V68" s="20"/>
      <c r="W68" s="3"/>
      <c r="X68" s="3">
        <f t="shared" si="6"/>
        <v>34.229999999999997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","4227"," - ","SALES RETURN TAXABLE-SCHOOL SU")</f>
        <v xml:space="preserve">          4227 - SALES RETURN TAXABLE-SCHOOL SU</v>
      </c>
      <c r="C69" s="12"/>
      <c r="D69" s="3">
        <f>0</f>
        <v>0</v>
      </c>
      <c r="E69" s="3"/>
      <c r="F69" s="20"/>
      <c r="G69" s="3"/>
      <c r="H69" s="3">
        <f>-19.05</f>
        <v>-19.05</v>
      </c>
      <c r="I69" s="3"/>
      <c r="J69" s="20"/>
      <c r="K69" s="3"/>
      <c r="L69" s="3">
        <f t="shared" si="4"/>
        <v>19.05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-781.73</f>
        <v>-781.73</v>
      </c>
      <c r="U69" s="3"/>
      <c r="V69" s="20"/>
      <c r="W69" s="3"/>
      <c r="X69" s="3">
        <f t="shared" si="6"/>
        <v>781.73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","4228"," - ","SALES RETURN TAXABLE-ART/TECH")</f>
        <v xml:space="preserve">          4228 - SALES RETURN TAXABLE-ART/TECH</v>
      </c>
      <c r="C70" s="12"/>
      <c r="D70" s="3">
        <f>0</f>
        <v>0</v>
      </c>
      <c r="E70" s="3"/>
      <c r="F70" s="20"/>
      <c r="G70" s="3"/>
      <c r="H70" s="3">
        <f>-10.71</f>
        <v>-10.71</v>
      </c>
      <c r="I70" s="3"/>
      <c r="J70" s="20"/>
      <c r="K70" s="3"/>
      <c r="L70" s="3">
        <f t="shared" si="4"/>
        <v>10.71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-12739.24</f>
        <v>-12739.24</v>
      </c>
      <c r="U70" s="3"/>
      <c r="V70" s="20"/>
      <c r="W70" s="3"/>
      <c r="X70" s="3">
        <f t="shared" si="6"/>
        <v>12739.24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","4240"," - ","SALES RETURN TAXABLE-LOGO CLOT")</f>
        <v xml:space="preserve">          4240 - SALES RETURN TAXABLE-LOGO CLOT</v>
      </c>
      <c r="C71" s="12"/>
      <c r="D71" s="3">
        <f>0</f>
        <v>0</v>
      </c>
      <c r="E71" s="3"/>
      <c r="F71" s="20"/>
      <c r="G71" s="3"/>
      <c r="H71" s="3">
        <f>-3542.64</f>
        <v>-3542.64</v>
      </c>
      <c r="I71" s="3"/>
      <c r="J71" s="20"/>
      <c r="K71" s="3"/>
      <c r="L71" s="3">
        <f t="shared" si="4"/>
        <v>3542.64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-31129.51</f>
        <v>-31129.51</v>
      </c>
      <c r="U71" s="3"/>
      <c r="V71" s="20"/>
      <c r="W71" s="3"/>
      <c r="X71" s="3">
        <f t="shared" si="6"/>
        <v>31129.51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","4241"," - ","SALES RETURN TAXABLE-LOGO GIFT")</f>
        <v xml:space="preserve">          4241 - SALES RETURN TAXABLE-LOGO GIFT</v>
      </c>
      <c r="C72" s="12"/>
      <c r="D72" s="3">
        <f>0</f>
        <v>0</v>
      </c>
      <c r="E72" s="3"/>
      <c r="F72" s="20"/>
      <c r="G72" s="3"/>
      <c r="H72" s="3">
        <f>-338.05</f>
        <v>-338.05</v>
      </c>
      <c r="I72" s="3"/>
      <c r="J72" s="20"/>
      <c r="K72" s="3"/>
      <c r="L72" s="3">
        <f t="shared" si="4"/>
        <v>338.05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-5295.52</f>
        <v>-5295.52</v>
      </c>
      <c r="U72" s="3"/>
      <c r="V72" s="20"/>
      <c r="W72" s="3"/>
      <c r="X72" s="3">
        <f t="shared" si="6"/>
        <v>5295.52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","4242"," - ","SALES RETURN TAXABLE-EVERYDAY")</f>
        <v xml:space="preserve">          4242 - SALES RETURN TAXABLE-EVERYDAY</v>
      </c>
      <c r="C73" s="12"/>
      <c r="D73" s="3">
        <f>0</f>
        <v>0</v>
      </c>
      <c r="E73" s="3"/>
      <c r="F73" s="20"/>
      <c r="G73" s="3"/>
      <c r="H73" s="3">
        <f>-44.96</f>
        <v>-44.96</v>
      </c>
      <c r="I73" s="3"/>
      <c r="J73" s="20"/>
      <c r="K73" s="3"/>
      <c r="L73" s="3">
        <f t="shared" si="4"/>
        <v>44.96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-1738.74</f>
        <v>-1738.74</v>
      </c>
      <c r="U73" s="3"/>
      <c r="V73" s="20"/>
      <c r="W73" s="3"/>
      <c r="X73" s="3">
        <f t="shared" si="6"/>
        <v>1738.74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","4243"," - ","SALES RETURN TAXABLE-CARDS")</f>
        <v xml:space="preserve">          4243 - SALES RETURN TAXABLE-CARDS</v>
      </c>
      <c r="C74" s="12"/>
      <c r="D74" s="3">
        <f>0</f>
        <v>0</v>
      </c>
      <c r="E74" s="3"/>
      <c r="F74" s="20"/>
      <c r="G74" s="3"/>
      <c r="H74" s="3">
        <f>-369.81</f>
        <v>-369.81</v>
      </c>
      <c r="I74" s="3"/>
      <c r="J74" s="20"/>
      <c r="K74" s="3"/>
      <c r="L74" s="3">
        <f t="shared" si="4"/>
        <v>369.81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-5369.6</f>
        <v>-5369.6</v>
      </c>
      <c r="U74" s="3"/>
      <c r="V74" s="20"/>
      <c r="W74" s="3"/>
      <c r="X74" s="3">
        <f t="shared" si="6"/>
        <v>5369.6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","4244"," - ","SALES RETURN TAXABLE-ACCESSORI")</f>
        <v xml:space="preserve">          4244 - SALES RETURN TAXABLE-ACCESSORI</v>
      </c>
      <c r="C75" s="12"/>
      <c r="D75" s="3">
        <f>0</f>
        <v>0</v>
      </c>
      <c r="E75" s="3"/>
      <c r="F75" s="20"/>
      <c r="G75" s="3"/>
      <c r="H75" s="3">
        <f>-9.99</f>
        <v>-9.99</v>
      </c>
      <c r="I75" s="3"/>
      <c r="J75" s="20"/>
      <c r="K75" s="3"/>
      <c r="L75" s="3">
        <f t="shared" si="4"/>
        <v>9.99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-994.84</f>
        <v>-994.84</v>
      </c>
      <c r="U75" s="3"/>
      <c r="V75" s="20"/>
      <c r="W75" s="3"/>
      <c r="X75" s="3">
        <f t="shared" si="6"/>
        <v>994.84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","4245"," - ","SALES RETURN TAXABLE-SPECIAL O")</f>
        <v xml:space="preserve">          4245 - SALES RETURN TAXABLE-SPECIAL O</v>
      </c>
      <c r="C76" s="12"/>
      <c r="D76" s="3">
        <f>0</f>
        <v>0</v>
      </c>
      <c r="E76" s="3"/>
      <c r="F76" s="20"/>
      <c r="G76" s="3"/>
      <c r="H76" s="3">
        <f>-7.98</f>
        <v>-7.98</v>
      </c>
      <c r="I76" s="3"/>
      <c r="J76" s="20"/>
      <c r="K76" s="3"/>
      <c r="L76" s="3">
        <f t="shared" ref="L76:L84" si="8">+D76-H76</f>
        <v>7.98</v>
      </c>
      <c r="M76" s="3"/>
      <c r="N76" s="20">
        <f t="shared" ref="N76:N84" si="9">IF(H76=0,0,L76/H76)</f>
        <v>-1</v>
      </c>
      <c r="O76" s="12"/>
      <c r="P76" s="3">
        <f>0</f>
        <v>0</v>
      </c>
      <c r="Q76" s="3"/>
      <c r="R76" s="20"/>
      <c r="S76" s="3"/>
      <c r="T76" s="3">
        <f>-11353.59</f>
        <v>-11353.59</v>
      </c>
      <c r="U76" s="3"/>
      <c r="V76" s="20"/>
      <c r="W76" s="3"/>
      <c r="X76" s="3">
        <f t="shared" ref="X76:X84" si="10">+P76-T76</f>
        <v>11353.59</v>
      </c>
      <c r="Y76" s="3"/>
      <c r="Z76" s="20">
        <f t="shared" ref="Z76:Z84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","4300"," - ","NON-TAX RETURNS")</f>
        <v xml:space="preserve">          4300 - NON-TAX RETURNS</v>
      </c>
      <c r="C77" s="12"/>
      <c r="D77" s="3">
        <f>-3193.12</f>
        <v>-3193.12</v>
      </c>
      <c r="E77" s="3"/>
      <c r="F77" s="20"/>
      <c r="G77" s="3"/>
      <c r="H77" s="3">
        <f>0</f>
        <v>0</v>
      </c>
      <c r="I77" s="3"/>
      <c r="J77" s="20"/>
      <c r="K77" s="3"/>
      <c r="L77" s="3">
        <f t="shared" si="8"/>
        <v>-3193.12</v>
      </c>
      <c r="M77" s="3"/>
      <c r="N77" s="20">
        <f t="shared" si="9"/>
        <v>0</v>
      </c>
      <c r="O77" s="12"/>
      <c r="P77" s="3">
        <f>-31247.2</f>
        <v>-31247.200000000001</v>
      </c>
      <c r="Q77" s="3"/>
      <c r="R77" s="20"/>
      <c r="S77" s="3"/>
      <c r="T77" s="3">
        <f>0</f>
        <v>0</v>
      </c>
      <c r="U77" s="3"/>
      <c r="V77" s="20"/>
      <c r="W77" s="3"/>
      <c r="X77" s="3">
        <f t="shared" si="10"/>
        <v>-31247.200000000001</v>
      </c>
      <c r="Y77" s="3"/>
      <c r="Z77" s="20">
        <f t="shared" si="11"/>
        <v>0</v>
      </c>
    </row>
    <row r="78" spans="1:26" s="69" customFormat="1" ht="15" hidden="1" customHeight="1" outlineLevel="1" x14ac:dyDescent="0.3">
      <c r="A78" s="42"/>
      <c r="B78" s="12" t="str">
        <f>CONCATENATE("          ","4301"," - ","SALES RETURN NON TAXABLE-NEW T")</f>
        <v xml:space="preserve">          4301 - SALES RETURN NON TAXABLE-NEW T</v>
      </c>
      <c r="C78" s="12"/>
      <c r="D78" s="3">
        <f>0</f>
        <v>0</v>
      </c>
      <c r="E78" s="3"/>
      <c r="F78" s="20"/>
      <c r="G78" s="3"/>
      <c r="H78" s="3">
        <f>-231.5</f>
        <v>-231.5</v>
      </c>
      <c r="I78" s="3"/>
      <c r="J78" s="20"/>
      <c r="K78" s="3"/>
      <c r="L78" s="3">
        <f t="shared" si="8"/>
        <v>231.5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-3237.29</f>
        <v>-3237.29</v>
      </c>
      <c r="U78" s="3"/>
      <c r="V78" s="20"/>
      <c r="W78" s="3"/>
      <c r="X78" s="3">
        <f t="shared" si="10"/>
        <v>3237.29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","4302"," - ","SALES RETURN NON TAXABLE-TEXT")</f>
        <v xml:space="preserve">          4302 - SALES RETURN NON TAXABLE-TEXT</v>
      </c>
      <c r="C79" s="12"/>
      <c r="D79" s="3">
        <f>0</f>
        <v>0</v>
      </c>
      <c r="E79" s="3"/>
      <c r="F79" s="20"/>
      <c r="G79" s="3"/>
      <c r="H79" s="3">
        <f>-70.32</f>
        <v>-70.319999999999993</v>
      </c>
      <c r="I79" s="3"/>
      <c r="J79" s="20"/>
      <c r="K79" s="3"/>
      <c r="L79" s="3">
        <f t="shared" si="8"/>
        <v>70.319999999999993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-2073.48</f>
        <v>-2073.48</v>
      </c>
      <c r="U79" s="3"/>
      <c r="V79" s="20"/>
      <c r="W79" s="3"/>
      <c r="X79" s="3">
        <f t="shared" si="10"/>
        <v>2073.48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","4304"," - ","SALES RETURN NON TAXABLE-DIGIT")</f>
        <v xml:space="preserve">          4304 - SALES RETURN NON TAXABLE-DIGIT</v>
      </c>
      <c r="C80" s="12"/>
      <c r="D80" s="3">
        <f>0</f>
        <v>0</v>
      </c>
      <c r="E80" s="3"/>
      <c r="F80" s="20"/>
      <c r="G80" s="3"/>
      <c r="H80" s="3">
        <f>-2172.95</f>
        <v>-2172.9499999999998</v>
      </c>
      <c r="I80" s="3"/>
      <c r="J80" s="20"/>
      <c r="K80" s="3"/>
      <c r="L80" s="3">
        <f t="shared" si="8"/>
        <v>2172.9499999999998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-27268.72</f>
        <v>-27268.720000000001</v>
      </c>
      <c r="U80" s="3"/>
      <c r="V80" s="20"/>
      <c r="W80" s="3"/>
      <c r="X80" s="3">
        <f t="shared" si="10"/>
        <v>27268.720000000001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","4340"," - ","SALES RETURN NON TAXABLE-LOGO")</f>
        <v xml:space="preserve">          4340 - SALES RETURN NON TAXABLE-LOGO</v>
      </c>
      <c r="C81" s="12"/>
      <c r="D81" s="3">
        <f>0</f>
        <v>0</v>
      </c>
      <c r="E81" s="3"/>
      <c r="F81" s="20"/>
      <c r="G81" s="3"/>
      <c r="H81" s="3">
        <f>-76.9</f>
        <v>-76.900000000000006</v>
      </c>
      <c r="I81" s="3"/>
      <c r="J81" s="20"/>
      <c r="K81" s="3"/>
      <c r="L81" s="3">
        <f t="shared" si="8"/>
        <v>76.900000000000006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-2292.84</f>
        <v>-2292.84</v>
      </c>
      <c r="U81" s="3"/>
      <c r="V81" s="20"/>
      <c r="W81" s="3"/>
      <c r="X81" s="3">
        <f t="shared" si="10"/>
        <v>2292.84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","4341"," - ","SALES RETURN NON TAXABLE-LOGO")</f>
        <v xml:space="preserve">          4341 - SALES RETURN NON TAXABLE-LOGO</v>
      </c>
      <c r="C82" s="12"/>
      <c r="D82" s="3">
        <f>0</f>
        <v>0</v>
      </c>
      <c r="E82" s="3"/>
      <c r="F82" s="20"/>
      <c r="G82" s="3"/>
      <c r="H82" s="3">
        <f>0</f>
        <v>0</v>
      </c>
      <c r="I82" s="3"/>
      <c r="J82" s="20"/>
      <c r="K82" s="3"/>
      <c r="L82" s="3">
        <f t="shared" si="8"/>
        <v>0</v>
      </c>
      <c r="M82" s="3"/>
      <c r="N82" s="20">
        <f t="shared" si="9"/>
        <v>0</v>
      </c>
      <c r="O82" s="12"/>
      <c r="P82" s="3">
        <f>0</f>
        <v>0</v>
      </c>
      <c r="Q82" s="3"/>
      <c r="R82" s="20"/>
      <c r="S82" s="3"/>
      <c r="T82" s="3">
        <f>-362.64</f>
        <v>-362.64</v>
      </c>
      <c r="U82" s="3"/>
      <c r="V82" s="20"/>
      <c r="W82" s="3"/>
      <c r="X82" s="3">
        <f t="shared" si="10"/>
        <v>362.64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","4342"," - ","SALES RETURN NON TAXABLE-EVERY")</f>
        <v xml:space="preserve">          4342 - SALES RETURN NON TAXABLE-EVERY</v>
      </c>
      <c r="C83" s="12"/>
      <c r="D83" s="3">
        <f>0</f>
        <v>0</v>
      </c>
      <c r="E83" s="3"/>
      <c r="F83" s="20"/>
      <c r="G83" s="3"/>
      <c r="H83" s="3">
        <f>0</f>
        <v>0</v>
      </c>
      <c r="I83" s="3"/>
      <c r="J83" s="20"/>
      <c r="K83" s="3"/>
      <c r="L83" s="3">
        <f t="shared" si="8"/>
        <v>0</v>
      </c>
      <c r="M83" s="3"/>
      <c r="N83" s="20">
        <f t="shared" si="9"/>
        <v>0</v>
      </c>
      <c r="O83" s="12"/>
      <c r="P83" s="3">
        <f>0</f>
        <v>0</v>
      </c>
      <c r="Q83" s="3"/>
      <c r="R83" s="20"/>
      <c r="S83" s="3"/>
      <c r="T83" s="3">
        <f>-118.7</f>
        <v>-118.7</v>
      </c>
      <c r="U83" s="3"/>
      <c r="V83" s="20"/>
      <c r="W83" s="3"/>
      <c r="X83" s="3">
        <f t="shared" si="10"/>
        <v>118.7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","4500"," - ","SALES DISCOUNT")</f>
        <v xml:space="preserve">          4500 - SALES DISCOUNT</v>
      </c>
      <c r="C84" s="12"/>
      <c r="D84" s="3">
        <f>-12153.15</f>
        <v>-12153.15</v>
      </c>
      <c r="E84" s="3"/>
      <c r="F84" s="20"/>
      <c r="G84" s="3"/>
      <c r="H84" s="3">
        <f>0</f>
        <v>0</v>
      </c>
      <c r="I84" s="3"/>
      <c r="J84" s="20"/>
      <c r="K84" s="3"/>
      <c r="L84" s="3">
        <f t="shared" si="8"/>
        <v>-12153.15</v>
      </c>
      <c r="M84" s="3"/>
      <c r="N84" s="20">
        <f t="shared" si="9"/>
        <v>0</v>
      </c>
      <c r="O84" s="12"/>
      <c r="P84" s="3">
        <f>-82547.1</f>
        <v>-82547.100000000006</v>
      </c>
      <c r="Q84" s="3"/>
      <c r="R84" s="20"/>
      <c r="S84" s="3"/>
      <c r="T84" s="3">
        <f>0</f>
        <v>0</v>
      </c>
      <c r="U84" s="3"/>
      <c r="V84" s="20"/>
      <c r="W84" s="3"/>
      <c r="X84" s="3">
        <f t="shared" si="10"/>
        <v>-82547.100000000006</v>
      </c>
      <c r="Y84" s="3"/>
      <c r="Z84" s="20">
        <f t="shared" si="11"/>
        <v>0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collapsed="1" x14ac:dyDescent="0.3">
      <c r="A86" s="11"/>
      <c r="B86" s="27" t="s">
        <v>287</v>
      </c>
      <c r="C86" s="11"/>
      <c r="D86" s="5">
        <f>SUM(OSRRefD16x_0)</f>
        <v>442535.63</v>
      </c>
      <c r="E86" s="5"/>
      <c r="F86" s="13">
        <f t="shared" ref="F86:F129" si="12">IF(D$12=0,0,D86/D$12)</f>
        <v>0.50718566344090465</v>
      </c>
      <c r="G86" s="5"/>
      <c r="H86" s="5">
        <f>SUM(OSRRefH16x_0)</f>
        <v>135459.13999999998</v>
      </c>
      <c r="I86" s="5"/>
      <c r="J86" s="13">
        <f t="shared" ref="J86:J129" si="13">IF(H$12=0,0,H86/H$12)</f>
        <v>0.66737138694754961</v>
      </c>
      <c r="K86" s="5"/>
      <c r="L86" s="5">
        <f t="shared" ref="L86:L129" si="14">+D86-H86</f>
        <v>307076.49</v>
      </c>
      <c r="M86" s="5"/>
      <c r="N86" s="13">
        <f t="shared" ref="N86:N129" si="15">IF(H86=0,0,L86/H86)</f>
        <v>2.266930751221365</v>
      </c>
      <c r="O86" s="11"/>
      <c r="P86" s="5">
        <f>SUM(OSRRefP16x_0)</f>
        <v>3158357.4299999997</v>
      </c>
      <c r="Q86" s="5"/>
      <c r="R86" s="13">
        <f t="shared" ref="R86:R129" si="16">IF(P$12=0,0,P86/P$12)</f>
        <v>0.58809840918278877</v>
      </c>
      <c r="S86" s="5"/>
      <c r="T86" s="5">
        <f>SUM(OSRRefT16x_0)</f>
        <v>2650550.87</v>
      </c>
      <c r="U86" s="5"/>
      <c r="V86" s="13">
        <f t="shared" ref="V86:V129" si="17">IF(T$12=0,0,T86/T$12)</f>
        <v>0.64916764944305005</v>
      </c>
      <c r="W86" s="5"/>
      <c r="X86" s="5">
        <f t="shared" ref="X86:X129" si="18">+P86-T86</f>
        <v>507806.55999999959</v>
      </c>
      <c r="Y86" s="5"/>
      <c r="Z86" s="13">
        <f t="shared" ref="Z86:Z129" si="19">IF(T86=0,0,X86/T86)</f>
        <v>0.19158529109837441</v>
      </c>
    </row>
    <row r="87" spans="1:26" s="69" customFormat="1" ht="15" hidden="1" customHeight="1" outlineLevel="1" x14ac:dyDescent="0.3">
      <c r="A87" s="42"/>
      <c r="B87" s="12" t="str">
        <f>CONCATENATE("          ","5000"," - ","PURCHASES @ COST")</f>
        <v xml:space="preserve">          5000 - PURCHASES @ COST</v>
      </c>
      <c r="C87" s="12"/>
      <c r="D87" s="3">
        <v>380898.63</v>
      </c>
      <c r="E87" s="3"/>
      <c r="F87" s="20">
        <f t="shared" si="12"/>
        <v>0.43654411365765439</v>
      </c>
      <c r="G87" s="3"/>
      <c r="H87" s="3"/>
      <c r="I87" s="3"/>
      <c r="J87" s="20">
        <f t="shared" si="13"/>
        <v>0</v>
      </c>
      <c r="K87" s="3"/>
      <c r="L87" s="3">
        <f t="shared" si="14"/>
        <v>380898.63</v>
      </c>
      <c r="M87" s="3"/>
      <c r="N87" s="20">
        <f t="shared" si="15"/>
        <v>0</v>
      </c>
      <c r="O87" s="12"/>
      <c r="P87" s="3">
        <v>3401156.97</v>
      </c>
      <c r="Q87" s="3"/>
      <c r="R87" s="20">
        <f t="shared" si="16"/>
        <v>0.63330862569217006</v>
      </c>
      <c r="S87" s="3"/>
      <c r="T87" s="3">
        <v>0</v>
      </c>
      <c r="U87" s="3"/>
      <c r="V87" s="20">
        <f t="shared" si="17"/>
        <v>0</v>
      </c>
      <c r="W87" s="3"/>
      <c r="X87" s="3">
        <f t="shared" si="18"/>
        <v>3401156.97</v>
      </c>
      <c r="Y87" s="3"/>
      <c r="Z87" s="20">
        <f t="shared" si="19"/>
        <v>0</v>
      </c>
    </row>
    <row r="88" spans="1:26" s="69" customFormat="1" ht="15" hidden="1" customHeight="1" outlineLevel="1" x14ac:dyDescent="0.3">
      <c r="A88" s="42"/>
      <c r="B88" s="12" t="str">
        <f>CONCATENATE("          ","5001"," - ","PURCHASES @ COST-NEW TEXT")</f>
        <v xml:space="preserve">          5001 - PURCHASES @ COST-NEW TEXT</v>
      </c>
      <c r="C88" s="12"/>
      <c r="D88" s="3"/>
      <c r="E88" s="3"/>
      <c r="F88" s="20">
        <f t="shared" si="12"/>
        <v>0</v>
      </c>
      <c r="G88" s="3"/>
      <c r="H88" s="3">
        <v>-332593.57</v>
      </c>
      <c r="I88" s="3"/>
      <c r="J88" s="20">
        <f t="shared" si="13"/>
        <v>-1.6386006296860953</v>
      </c>
      <c r="K88" s="3"/>
      <c r="L88" s="3">
        <f t="shared" si="14"/>
        <v>332593.57</v>
      </c>
      <c r="M88" s="3"/>
      <c r="N88" s="20">
        <f t="shared" si="15"/>
        <v>-1</v>
      </c>
      <c r="O88" s="12"/>
      <c r="P88" s="3">
        <v>0</v>
      </c>
      <c r="Q88" s="3"/>
      <c r="R88" s="20">
        <f t="shared" si="16"/>
        <v>0</v>
      </c>
      <c r="S88" s="3"/>
      <c r="T88" s="3">
        <v>1326415.6399999999</v>
      </c>
      <c r="U88" s="3"/>
      <c r="V88" s="20">
        <f t="shared" si="17"/>
        <v>0.32486308146325027</v>
      </c>
      <c r="W88" s="3"/>
      <c r="X88" s="3">
        <f t="shared" si="18"/>
        <v>-1326415.6399999999</v>
      </c>
      <c r="Y88" s="3"/>
      <c r="Z88" s="20">
        <f t="shared" si="19"/>
        <v>-1</v>
      </c>
    </row>
    <row r="89" spans="1:26" s="69" customFormat="1" ht="15" hidden="1" customHeight="1" outlineLevel="1" x14ac:dyDescent="0.3">
      <c r="A89" s="42"/>
      <c r="B89" s="12" t="str">
        <f>CONCATENATE("          ","5002"," - ","PURCHASES @ COST-USED TEXT")</f>
        <v xml:space="preserve">          5002 - PURCHASES @ COST-USED TEXT</v>
      </c>
      <c r="C89" s="12"/>
      <c r="D89" s="3"/>
      <c r="E89" s="3"/>
      <c r="F89" s="20">
        <f t="shared" si="12"/>
        <v>0</v>
      </c>
      <c r="G89" s="3"/>
      <c r="H89" s="3">
        <v>121987.94</v>
      </c>
      <c r="I89" s="3"/>
      <c r="J89" s="20">
        <f t="shared" si="13"/>
        <v>0.6010023443872039</v>
      </c>
      <c r="K89" s="3"/>
      <c r="L89" s="3">
        <f t="shared" si="14"/>
        <v>-121987.94</v>
      </c>
      <c r="M89" s="3"/>
      <c r="N89" s="20">
        <f t="shared" si="15"/>
        <v>-1</v>
      </c>
      <c r="O89" s="12"/>
      <c r="P89" s="3">
        <v>0</v>
      </c>
      <c r="Q89" s="3"/>
      <c r="R89" s="20">
        <f t="shared" si="16"/>
        <v>0</v>
      </c>
      <c r="S89" s="3"/>
      <c r="T89" s="3">
        <v>382324.22</v>
      </c>
      <c r="U89" s="3"/>
      <c r="V89" s="20">
        <f t="shared" si="17"/>
        <v>9.3638087852487631E-2</v>
      </c>
      <c r="W89" s="3"/>
      <c r="X89" s="3">
        <f t="shared" si="18"/>
        <v>-382324.22</v>
      </c>
      <c r="Y89" s="3"/>
      <c r="Z89" s="20">
        <f t="shared" si="19"/>
        <v>-1</v>
      </c>
    </row>
    <row r="90" spans="1:26" s="69" customFormat="1" ht="15" hidden="1" customHeight="1" outlineLevel="1" x14ac:dyDescent="0.3">
      <c r="A90" s="42"/>
      <c r="B90" s="12" t="str">
        <f>CONCATENATE("          ","5003"," - ","PURCHASES @ COST-RENTAL TEXT")</f>
        <v xml:space="preserve">          5003 - PURCHASES @ COST-RENTAL TEXT</v>
      </c>
      <c r="C90" s="12"/>
      <c r="D90" s="3"/>
      <c r="E90" s="3"/>
      <c r="F90" s="20">
        <f t="shared" si="12"/>
        <v>0</v>
      </c>
      <c r="G90" s="3"/>
      <c r="H90" s="3"/>
      <c r="I90" s="3"/>
      <c r="J90" s="20">
        <f t="shared" si="13"/>
        <v>0</v>
      </c>
      <c r="K90" s="3"/>
      <c r="L90" s="3">
        <f t="shared" si="14"/>
        <v>0</v>
      </c>
      <c r="M90" s="3"/>
      <c r="N90" s="20">
        <f t="shared" si="15"/>
        <v>0</v>
      </c>
      <c r="O90" s="12"/>
      <c r="P90" s="3"/>
      <c r="Q90" s="3"/>
      <c r="R90" s="20">
        <f t="shared" si="16"/>
        <v>0</v>
      </c>
      <c r="S90" s="3"/>
      <c r="T90" s="3">
        <v>32.520000000000003</v>
      </c>
      <c r="U90" s="3"/>
      <c r="V90" s="20">
        <f t="shared" si="17"/>
        <v>7.9647337460412484E-6</v>
      </c>
      <c r="W90" s="3"/>
      <c r="X90" s="3">
        <f t="shared" si="18"/>
        <v>-32.520000000000003</v>
      </c>
      <c r="Y90" s="3"/>
      <c r="Z90" s="20">
        <f t="shared" si="19"/>
        <v>-1</v>
      </c>
    </row>
    <row r="91" spans="1:26" s="69" customFormat="1" ht="15" hidden="1" customHeight="1" outlineLevel="1" x14ac:dyDescent="0.3">
      <c r="A91" s="42"/>
      <c r="B91" s="12" t="str">
        <f>CONCATENATE("          ","5004"," - ","PURCHASES @ COST-DIGITAL TEXT")</f>
        <v xml:space="preserve">          5004 - PURCHASES @ COST-DIGITAL TEXT</v>
      </c>
      <c r="C91" s="12"/>
      <c r="D91" s="3"/>
      <c r="E91" s="3"/>
      <c r="F91" s="20">
        <f t="shared" si="12"/>
        <v>0</v>
      </c>
      <c r="G91" s="3"/>
      <c r="H91" s="3">
        <v>3282.02</v>
      </c>
      <c r="I91" s="3"/>
      <c r="J91" s="20">
        <f t="shared" si="13"/>
        <v>1.6169645247929354E-2</v>
      </c>
      <c r="K91" s="3"/>
      <c r="L91" s="3">
        <f t="shared" si="14"/>
        <v>-3282.02</v>
      </c>
      <c r="M91" s="3"/>
      <c r="N91" s="20">
        <f t="shared" si="15"/>
        <v>-1</v>
      </c>
      <c r="O91" s="12"/>
      <c r="P91" s="3">
        <v>0</v>
      </c>
      <c r="Q91" s="3"/>
      <c r="R91" s="20">
        <f t="shared" si="16"/>
        <v>0</v>
      </c>
      <c r="S91" s="3"/>
      <c r="T91" s="3">
        <v>220008.58</v>
      </c>
      <c r="U91" s="3"/>
      <c r="V91" s="20">
        <f t="shared" si="17"/>
        <v>5.3884064008137007E-2</v>
      </c>
      <c r="W91" s="3"/>
      <c r="X91" s="3">
        <f t="shared" si="18"/>
        <v>-220008.58</v>
      </c>
      <c r="Y91" s="3"/>
      <c r="Z91" s="20">
        <f t="shared" si="19"/>
        <v>-1</v>
      </c>
    </row>
    <row r="92" spans="1:26" s="69" customFormat="1" ht="15" hidden="1" customHeight="1" outlineLevel="1" x14ac:dyDescent="0.3">
      <c r="A92" s="42"/>
      <c r="B92" s="12" t="str">
        <f>CONCATENATE("          ","5011"," - ","PURCHASES @ COST-NO VALUE TEXT")</f>
        <v xml:space="preserve">          5011 - PURCHASES @ COST-NO VALUE TEXT</v>
      </c>
      <c r="C92" s="12"/>
      <c r="D92" s="3"/>
      <c r="E92" s="3"/>
      <c r="F92" s="20">
        <f t="shared" si="12"/>
        <v>0</v>
      </c>
      <c r="G92" s="3"/>
      <c r="H92" s="3"/>
      <c r="I92" s="3"/>
      <c r="J92" s="20">
        <f t="shared" si="13"/>
        <v>0</v>
      </c>
      <c r="K92" s="3"/>
      <c r="L92" s="3">
        <f t="shared" si="14"/>
        <v>0</v>
      </c>
      <c r="M92" s="3"/>
      <c r="N92" s="20">
        <f t="shared" si="15"/>
        <v>0</v>
      </c>
      <c r="O92" s="12"/>
      <c r="P92" s="3"/>
      <c r="Q92" s="3"/>
      <c r="R92" s="20">
        <f t="shared" si="16"/>
        <v>0</v>
      </c>
      <c r="S92" s="3"/>
      <c r="T92" s="3">
        <v>67.17</v>
      </c>
      <c r="U92" s="3"/>
      <c r="V92" s="20">
        <f t="shared" si="17"/>
        <v>1.6451142857367485E-5</v>
      </c>
      <c r="W92" s="3"/>
      <c r="X92" s="3">
        <f t="shared" si="18"/>
        <v>-67.17</v>
      </c>
      <c r="Y92" s="3"/>
      <c r="Z92" s="20">
        <f t="shared" si="19"/>
        <v>-1</v>
      </c>
    </row>
    <row r="93" spans="1:26" s="69" customFormat="1" ht="15" hidden="1" customHeight="1" outlineLevel="1" x14ac:dyDescent="0.3">
      <c r="A93" s="42"/>
      <c r="B93" s="12" t="str">
        <f>CONCATENATE("          ","5013"," - ","PURCHASES @ COST-TRADE BOOKS")</f>
        <v xml:space="preserve">          5013 - PURCHASES @ COST-TRADE BOOKS</v>
      </c>
      <c r="C93" s="12"/>
      <c r="D93" s="3"/>
      <c r="E93" s="3"/>
      <c r="F93" s="20">
        <f t="shared" si="12"/>
        <v>0</v>
      </c>
      <c r="G93" s="3"/>
      <c r="H93" s="3">
        <v>305.11</v>
      </c>
      <c r="I93" s="3"/>
      <c r="J93" s="20">
        <f t="shared" si="13"/>
        <v>1.5031963429825916E-3</v>
      </c>
      <c r="K93" s="3"/>
      <c r="L93" s="3">
        <f t="shared" si="14"/>
        <v>-305.11</v>
      </c>
      <c r="M93" s="3"/>
      <c r="N93" s="20">
        <f t="shared" si="15"/>
        <v>-1</v>
      </c>
      <c r="O93" s="12"/>
      <c r="P93" s="3"/>
      <c r="Q93" s="3"/>
      <c r="R93" s="20">
        <f t="shared" si="16"/>
        <v>0</v>
      </c>
      <c r="S93" s="3"/>
      <c r="T93" s="3">
        <v>5962.09</v>
      </c>
      <c r="U93" s="3"/>
      <c r="V93" s="20">
        <f t="shared" si="17"/>
        <v>1.4602232293952971E-3</v>
      </c>
      <c r="W93" s="3"/>
      <c r="X93" s="3">
        <f t="shared" si="18"/>
        <v>-5962.09</v>
      </c>
      <c r="Y93" s="3"/>
      <c r="Z93" s="20">
        <f t="shared" si="19"/>
        <v>-1</v>
      </c>
    </row>
    <row r="94" spans="1:26" s="69" customFormat="1" ht="15" hidden="1" customHeight="1" outlineLevel="1" x14ac:dyDescent="0.3">
      <c r="A94" s="42"/>
      <c r="B94" s="12" t="str">
        <f>CONCATENATE("          ","5014"," - ","PURCHASES @ COST-REMAINDERS")</f>
        <v xml:space="preserve">          5014 - PURCHASES @ COST-REMAINDERS</v>
      </c>
      <c r="C94" s="12"/>
      <c r="D94" s="3"/>
      <c r="E94" s="3"/>
      <c r="F94" s="20">
        <f t="shared" si="12"/>
        <v>0</v>
      </c>
      <c r="G94" s="3"/>
      <c r="H94" s="3">
        <v>21.16</v>
      </c>
      <c r="I94" s="3"/>
      <c r="J94" s="20">
        <f t="shared" si="13"/>
        <v>1.0424972835210789E-4</v>
      </c>
      <c r="K94" s="3"/>
      <c r="L94" s="3">
        <f t="shared" si="14"/>
        <v>-21.16</v>
      </c>
      <c r="M94" s="3"/>
      <c r="N94" s="20">
        <f t="shared" si="15"/>
        <v>-1</v>
      </c>
      <c r="O94" s="12"/>
      <c r="P94" s="3"/>
      <c r="Q94" s="3"/>
      <c r="R94" s="20">
        <f t="shared" si="16"/>
        <v>0</v>
      </c>
      <c r="S94" s="3"/>
      <c r="T94" s="3">
        <v>111.57</v>
      </c>
      <c r="U94" s="3"/>
      <c r="V94" s="20">
        <f t="shared" si="17"/>
        <v>2.7325502584434868E-5</v>
      </c>
      <c r="W94" s="3"/>
      <c r="X94" s="3">
        <f t="shared" si="18"/>
        <v>-111.57</v>
      </c>
      <c r="Y94" s="3"/>
      <c r="Z94" s="20">
        <f t="shared" si="19"/>
        <v>-1</v>
      </c>
    </row>
    <row r="95" spans="1:26" s="69" customFormat="1" ht="15" hidden="1" customHeight="1" outlineLevel="1" x14ac:dyDescent="0.3">
      <c r="A95" s="42"/>
      <c r="B95" s="12" t="str">
        <f>CONCATENATE("          ","5018"," - ","PURCHASES @ COST-STUDY GUIDES")</f>
        <v xml:space="preserve">          5018 - PURCHASES @ COST-STUDY GUIDES</v>
      </c>
      <c r="C95" s="12"/>
      <c r="D95" s="3"/>
      <c r="E95" s="3"/>
      <c r="F95" s="20">
        <f t="shared" si="12"/>
        <v>0</v>
      </c>
      <c r="G95" s="3"/>
      <c r="H95" s="3"/>
      <c r="I95" s="3"/>
      <c r="J95" s="20">
        <f t="shared" si="13"/>
        <v>0</v>
      </c>
      <c r="K95" s="3"/>
      <c r="L95" s="3">
        <f t="shared" si="14"/>
        <v>0</v>
      </c>
      <c r="M95" s="3"/>
      <c r="N95" s="20">
        <f t="shared" si="15"/>
        <v>0</v>
      </c>
      <c r="O95" s="12"/>
      <c r="P95" s="3"/>
      <c r="Q95" s="3"/>
      <c r="R95" s="20">
        <f t="shared" si="16"/>
        <v>0</v>
      </c>
      <c r="S95" s="3"/>
      <c r="T95" s="3">
        <v>522.34</v>
      </c>
      <c r="U95" s="3"/>
      <c r="V95" s="20">
        <f t="shared" si="17"/>
        <v>1.2793047432063917E-4</v>
      </c>
      <c r="W95" s="3"/>
      <c r="X95" s="3">
        <f t="shared" si="18"/>
        <v>-522.34</v>
      </c>
      <c r="Y95" s="3"/>
      <c r="Z95" s="20">
        <f t="shared" si="19"/>
        <v>-1</v>
      </c>
    </row>
    <row r="96" spans="1:26" s="69" customFormat="1" ht="15" hidden="1" customHeight="1" outlineLevel="1" x14ac:dyDescent="0.3">
      <c r="A96" s="42"/>
      <c r="B96" s="12" t="str">
        <f>CONCATENATE("          ","5025"," - ","PURCHASES @ COST-TEST FORMS")</f>
        <v xml:space="preserve">          5025 - PURCHASES @ COST-TEST FORMS</v>
      </c>
      <c r="C96" s="12"/>
      <c r="D96" s="3"/>
      <c r="E96" s="3"/>
      <c r="F96" s="20">
        <f t="shared" si="12"/>
        <v>0</v>
      </c>
      <c r="G96" s="3"/>
      <c r="H96" s="3"/>
      <c r="I96" s="3"/>
      <c r="J96" s="20">
        <f t="shared" si="13"/>
        <v>0</v>
      </c>
      <c r="K96" s="3"/>
      <c r="L96" s="3">
        <f t="shared" si="14"/>
        <v>0</v>
      </c>
      <c r="M96" s="3"/>
      <c r="N96" s="20">
        <f t="shared" si="15"/>
        <v>0</v>
      </c>
      <c r="O96" s="12"/>
      <c r="P96" s="3"/>
      <c r="Q96" s="3"/>
      <c r="R96" s="20">
        <f t="shared" si="16"/>
        <v>0</v>
      </c>
      <c r="S96" s="3"/>
      <c r="T96" s="3">
        <v>599.29</v>
      </c>
      <c r="U96" s="3"/>
      <c r="V96" s="20">
        <f t="shared" si="17"/>
        <v>1.4677691533410391E-4</v>
      </c>
      <c r="W96" s="3"/>
      <c r="X96" s="3">
        <f t="shared" si="18"/>
        <v>-599.29</v>
      </c>
      <c r="Y96" s="3"/>
      <c r="Z96" s="20">
        <f t="shared" si="19"/>
        <v>-1</v>
      </c>
    </row>
    <row r="97" spans="1:26" s="69" customFormat="1" ht="15" hidden="1" customHeight="1" outlineLevel="1" x14ac:dyDescent="0.3">
      <c r="A97" s="42"/>
      <c r="B97" s="12" t="str">
        <f>CONCATENATE("          ","5026"," - ","PURCHASES @ COST-WRITING INSTR")</f>
        <v xml:space="preserve">          5026 - PURCHASES @ COST-WRITING INSTR</v>
      </c>
      <c r="C97" s="12"/>
      <c r="D97" s="3"/>
      <c r="E97" s="3"/>
      <c r="F97" s="20">
        <f t="shared" si="12"/>
        <v>0</v>
      </c>
      <c r="G97" s="3"/>
      <c r="H97" s="3"/>
      <c r="I97" s="3"/>
      <c r="J97" s="20">
        <f t="shared" si="13"/>
        <v>0</v>
      </c>
      <c r="K97" s="3"/>
      <c r="L97" s="3">
        <f t="shared" si="14"/>
        <v>0</v>
      </c>
      <c r="M97" s="3"/>
      <c r="N97" s="20">
        <f t="shared" si="15"/>
        <v>0</v>
      </c>
      <c r="O97" s="12"/>
      <c r="P97" s="3">
        <v>0</v>
      </c>
      <c r="Q97" s="3"/>
      <c r="R97" s="20">
        <f t="shared" si="16"/>
        <v>0</v>
      </c>
      <c r="S97" s="3"/>
      <c r="T97" s="3">
        <v>374.91</v>
      </c>
      <c r="U97" s="3"/>
      <c r="V97" s="20">
        <f t="shared" si="17"/>
        <v>9.1822211830514273E-5</v>
      </c>
      <c r="W97" s="3"/>
      <c r="X97" s="3">
        <f t="shared" si="18"/>
        <v>-374.91</v>
      </c>
      <c r="Y97" s="3"/>
      <c r="Z97" s="20">
        <f t="shared" si="19"/>
        <v>-1</v>
      </c>
    </row>
    <row r="98" spans="1:26" s="69" customFormat="1" ht="15" hidden="1" customHeight="1" outlineLevel="1" x14ac:dyDescent="0.3">
      <c r="A98" s="42"/>
      <c r="B98" s="12" t="str">
        <f>CONCATENATE("          ","5027"," - ","PURCHASES @ COST-SCHOOL SUPPLI")</f>
        <v xml:space="preserve">          5027 - PURCHASES @ COST-SCHOOL SUPPLI</v>
      </c>
      <c r="C98" s="12"/>
      <c r="D98" s="3"/>
      <c r="E98" s="3"/>
      <c r="F98" s="20">
        <f t="shared" si="12"/>
        <v>0</v>
      </c>
      <c r="G98" s="3"/>
      <c r="H98" s="3"/>
      <c r="I98" s="3"/>
      <c r="J98" s="20">
        <f t="shared" si="13"/>
        <v>0</v>
      </c>
      <c r="K98" s="3"/>
      <c r="L98" s="3">
        <f t="shared" si="14"/>
        <v>0</v>
      </c>
      <c r="M98" s="3"/>
      <c r="N98" s="20">
        <f t="shared" si="15"/>
        <v>0</v>
      </c>
      <c r="O98" s="12"/>
      <c r="P98" s="3">
        <v>0</v>
      </c>
      <c r="Q98" s="3"/>
      <c r="R98" s="20">
        <f t="shared" si="16"/>
        <v>0</v>
      </c>
      <c r="S98" s="3"/>
      <c r="T98" s="3">
        <v>19071.349999999999</v>
      </c>
      <c r="U98" s="3"/>
      <c r="V98" s="20">
        <f t="shared" si="17"/>
        <v>4.6709171256938417E-3</v>
      </c>
      <c r="W98" s="3"/>
      <c r="X98" s="3">
        <f t="shared" si="18"/>
        <v>-19071.349999999999</v>
      </c>
      <c r="Y98" s="3"/>
      <c r="Z98" s="20">
        <f t="shared" si="19"/>
        <v>-1</v>
      </c>
    </row>
    <row r="99" spans="1:26" s="69" customFormat="1" ht="15" hidden="1" customHeight="1" outlineLevel="1" x14ac:dyDescent="0.3">
      <c r="A99" s="42"/>
      <c r="B99" s="12" t="str">
        <f>CONCATENATE("          ","5028"," - ","PURCHASES @ COST-ART/TECH")</f>
        <v xml:space="preserve">          5028 - PURCHASES @ COST-ART/TECH</v>
      </c>
      <c r="C99" s="12"/>
      <c r="D99" s="3"/>
      <c r="E99" s="3"/>
      <c r="F99" s="20">
        <f t="shared" si="12"/>
        <v>0</v>
      </c>
      <c r="G99" s="3"/>
      <c r="H99" s="3">
        <v>833.13</v>
      </c>
      <c r="I99" s="3"/>
      <c r="J99" s="20">
        <f t="shared" si="13"/>
        <v>4.1046113507557484E-3</v>
      </c>
      <c r="K99" s="3"/>
      <c r="L99" s="3">
        <f t="shared" si="14"/>
        <v>-833.13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42191.58</v>
      </c>
      <c r="U99" s="3"/>
      <c r="V99" s="20">
        <f t="shared" si="17"/>
        <v>1.0333477891291482E-2</v>
      </c>
      <c r="W99" s="3"/>
      <c r="X99" s="3">
        <f t="shared" si="18"/>
        <v>-42191.58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","5031"," - ","PURCHASES @ COST-FOOD")</f>
        <v xml:space="preserve">          5031 - PURCHASES @ COST-FOOD</v>
      </c>
      <c r="C100" s="12"/>
      <c r="D100" s="3"/>
      <c r="E100" s="3"/>
      <c r="F100" s="20">
        <f t="shared" si="12"/>
        <v>0</v>
      </c>
      <c r="G100" s="3"/>
      <c r="H100" s="3">
        <v>271.45999999999998</v>
      </c>
      <c r="I100" s="3"/>
      <c r="J100" s="20">
        <f t="shared" si="13"/>
        <v>1.337411685182571E-3</v>
      </c>
      <c r="K100" s="3"/>
      <c r="L100" s="3">
        <f t="shared" si="14"/>
        <v>-271.45999999999998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7785.72</v>
      </c>
      <c r="U100" s="3"/>
      <c r="V100" s="20">
        <f t="shared" si="17"/>
        <v>1.9068630633834029E-3</v>
      </c>
      <c r="W100" s="3"/>
      <c r="X100" s="3">
        <f t="shared" si="18"/>
        <v>-7785.72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","5040"," - ","PURCHASES @ COST-LOGO CLOTHING")</f>
        <v xml:space="preserve">          5040 - PURCHASES @ COST-LOGO CLOTHING</v>
      </c>
      <c r="C101" s="12"/>
      <c r="D101" s="3"/>
      <c r="E101" s="3"/>
      <c r="F101" s="20">
        <f t="shared" si="12"/>
        <v>0</v>
      </c>
      <c r="G101" s="3"/>
      <c r="H101" s="3">
        <v>26599.9</v>
      </c>
      <c r="I101" s="3"/>
      <c r="J101" s="20">
        <f t="shared" si="13"/>
        <v>0.13105067812822468</v>
      </c>
      <c r="K101" s="3"/>
      <c r="L101" s="3">
        <f t="shared" si="14"/>
        <v>-26599.9</v>
      </c>
      <c r="M101" s="3"/>
      <c r="N101" s="20">
        <f t="shared" si="15"/>
        <v>-1</v>
      </c>
      <c r="O101" s="12"/>
      <c r="P101" s="3">
        <v>0</v>
      </c>
      <c r="Q101" s="3"/>
      <c r="R101" s="20">
        <f t="shared" si="16"/>
        <v>0</v>
      </c>
      <c r="S101" s="3"/>
      <c r="T101" s="3">
        <v>193971.09</v>
      </c>
      <c r="U101" s="3"/>
      <c r="V101" s="20">
        <f t="shared" si="17"/>
        <v>4.7507013723228901E-2</v>
      </c>
      <c r="W101" s="3"/>
      <c r="X101" s="3">
        <f t="shared" si="18"/>
        <v>-193971.09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","5041"," - ","PURCHASES @ COST-LOGO GIFTS")</f>
        <v xml:space="preserve">          5041 - PURCHASES @ COST-LOGO GIFTS</v>
      </c>
      <c r="C102" s="12"/>
      <c r="D102" s="3"/>
      <c r="E102" s="3"/>
      <c r="F102" s="20">
        <f t="shared" si="12"/>
        <v>0</v>
      </c>
      <c r="G102" s="3"/>
      <c r="H102" s="3">
        <v>26592.81</v>
      </c>
      <c r="I102" s="3"/>
      <c r="J102" s="20">
        <f t="shared" si="13"/>
        <v>0.13101574757179671</v>
      </c>
      <c r="K102" s="3"/>
      <c r="L102" s="3">
        <f t="shared" si="14"/>
        <v>-26592.81</v>
      </c>
      <c r="M102" s="3"/>
      <c r="N102" s="20">
        <f t="shared" si="15"/>
        <v>-1</v>
      </c>
      <c r="O102" s="12"/>
      <c r="P102" s="3">
        <v>0</v>
      </c>
      <c r="Q102" s="3"/>
      <c r="R102" s="20">
        <f t="shared" si="16"/>
        <v>0</v>
      </c>
      <c r="S102" s="3"/>
      <c r="T102" s="3">
        <v>67563.81</v>
      </c>
      <c r="U102" s="3"/>
      <c r="V102" s="20">
        <f t="shared" si="17"/>
        <v>1.6547594019622358E-2</v>
      </c>
      <c r="W102" s="3"/>
      <c r="X102" s="3">
        <f t="shared" si="18"/>
        <v>-67563.81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","5042"," - ","PURCHASES @ COST-EVERYDAY GIFT")</f>
        <v xml:space="preserve">          5042 - PURCHASES @ COST-EVERYDAY GIFT</v>
      </c>
      <c r="C103" s="12"/>
      <c r="D103" s="3"/>
      <c r="E103" s="3"/>
      <c r="F103" s="20">
        <f t="shared" si="12"/>
        <v>0</v>
      </c>
      <c r="G103" s="3"/>
      <c r="H103" s="3">
        <v>1196.2</v>
      </c>
      <c r="I103" s="3"/>
      <c r="J103" s="20">
        <f t="shared" si="13"/>
        <v>5.893361297485418E-3</v>
      </c>
      <c r="K103" s="3"/>
      <c r="L103" s="3">
        <f t="shared" si="14"/>
        <v>-1196.2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19018.18</v>
      </c>
      <c r="U103" s="3"/>
      <c r="V103" s="20">
        <f t="shared" si="17"/>
        <v>4.6578948350026669E-3</v>
      </c>
      <c r="W103" s="3"/>
      <c r="X103" s="3">
        <f t="shared" si="18"/>
        <v>-19018.18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","5043"," - ","PURCHASES @ COST-CARDS")</f>
        <v xml:space="preserve">          5043 - PURCHASES @ COST-CARDS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>
        <v>0</v>
      </c>
      <c r="Q104" s="3"/>
      <c r="R104" s="20">
        <f t="shared" si="16"/>
        <v>0</v>
      </c>
      <c r="S104" s="3"/>
      <c r="T104" s="3">
        <v>55364.33</v>
      </c>
      <c r="U104" s="3"/>
      <c r="V104" s="20">
        <f t="shared" si="17"/>
        <v>1.3559721632163711E-2</v>
      </c>
      <c r="W104" s="3"/>
      <c r="X104" s="3">
        <f t="shared" si="18"/>
        <v>-55364.33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","5044"," - ","PURCHASES @ COST-ACCESSORIES")</f>
        <v xml:space="preserve">          5044 - PURCHASES @ COST-ACCESSORIES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>
        <v>0</v>
      </c>
      <c r="Q105" s="3"/>
      <c r="R105" s="20">
        <f t="shared" si="16"/>
        <v>0</v>
      </c>
      <c r="S105" s="3"/>
      <c r="T105" s="3">
        <v>1064.83</v>
      </c>
      <c r="U105" s="3"/>
      <c r="V105" s="20">
        <f t="shared" si="17"/>
        <v>2.6079604658047666E-4</v>
      </c>
      <c r="W105" s="3"/>
      <c r="X105" s="3">
        <f t="shared" si="18"/>
        <v>-1064.83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","5045"," - ","PURCHASES @ COST-SPECIAL ORDER")</f>
        <v xml:space="preserve">          5045 - PURCHASES @ COST-SPECIAL ORDER</v>
      </c>
      <c r="C106" s="12"/>
      <c r="D106" s="3"/>
      <c r="E106" s="3"/>
      <c r="F106" s="20">
        <f t="shared" si="12"/>
        <v>0</v>
      </c>
      <c r="G106" s="3"/>
      <c r="H106" s="3">
        <v>1909.13</v>
      </c>
      <c r="I106" s="3"/>
      <c r="J106" s="20">
        <f t="shared" si="13"/>
        <v>9.4057790117608574E-3</v>
      </c>
      <c r="K106" s="3"/>
      <c r="L106" s="3">
        <f t="shared" si="14"/>
        <v>-1909.13</v>
      </c>
      <c r="M106" s="3"/>
      <c r="N106" s="20">
        <f t="shared" si="15"/>
        <v>-1</v>
      </c>
      <c r="O106" s="12"/>
      <c r="P106" s="3">
        <v>0</v>
      </c>
      <c r="Q106" s="3"/>
      <c r="R106" s="20">
        <f t="shared" si="16"/>
        <v>0</v>
      </c>
      <c r="S106" s="3"/>
      <c r="T106" s="3">
        <v>95373.51</v>
      </c>
      <c r="U106" s="3"/>
      <c r="V106" s="20">
        <f t="shared" si="17"/>
        <v>2.3358690454348165E-2</v>
      </c>
      <c r="W106" s="3"/>
      <c r="X106" s="3">
        <f t="shared" si="18"/>
        <v>-95373.51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","5053"," - ","PURCHASES @ COST-FOOD")</f>
        <v xml:space="preserve">          5053 - PURCHASES @ COST-FOOD</v>
      </c>
      <c r="C107" s="12"/>
      <c r="D107" s="3"/>
      <c r="E107" s="3"/>
      <c r="F107" s="20">
        <f t="shared" si="12"/>
        <v>0</v>
      </c>
      <c r="G107" s="3"/>
      <c r="H107" s="3"/>
      <c r="I107" s="3"/>
      <c r="J107" s="20">
        <f t="shared" si="13"/>
        <v>0</v>
      </c>
      <c r="K107" s="3"/>
      <c r="L107" s="3">
        <f t="shared" si="14"/>
        <v>0</v>
      </c>
      <c r="M107" s="3"/>
      <c r="N107" s="20">
        <f t="shared" si="15"/>
        <v>0</v>
      </c>
      <c r="O107" s="12"/>
      <c r="P107" s="3">
        <v>41937.61</v>
      </c>
      <c r="Q107" s="3"/>
      <c r="R107" s="20">
        <f t="shared" si="16"/>
        <v>7.8089457170552783E-3</v>
      </c>
      <c r="S107" s="3"/>
      <c r="T107" s="3">
        <v>-2822.95</v>
      </c>
      <c r="U107" s="3"/>
      <c r="V107" s="20">
        <f t="shared" si="17"/>
        <v>-6.9139130161092067E-4</v>
      </c>
      <c r="W107" s="3"/>
      <c r="X107" s="3">
        <f t="shared" si="18"/>
        <v>44760.56</v>
      </c>
      <c r="Y107" s="3"/>
      <c r="Z107" s="20">
        <f t="shared" si="19"/>
        <v>-15.855952106838592</v>
      </c>
    </row>
    <row r="108" spans="1:26" s="69" customFormat="1" ht="15" hidden="1" customHeight="1" outlineLevel="1" x14ac:dyDescent="0.3">
      <c r="A108" s="42"/>
      <c r="B108" s="12" t="str">
        <f>CONCATENATE("          ","5059"," - ","PURCHASES @ COST-FOOD")</f>
        <v xml:space="preserve">          5059 - PURCHASES @ COST-FOOD</v>
      </c>
      <c r="C108" s="12"/>
      <c r="D108" s="3">
        <v>55952.7</v>
      </c>
      <c r="E108" s="3"/>
      <c r="F108" s="20">
        <f t="shared" si="12"/>
        <v>6.4126830354450576E-2</v>
      </c>
      <c r="G108" s="3"/>
      <c r="H108" s="3">
        <v>19149</v>
      </c>
      <c r="I108" s="3"/>
      <c r="J108" s="20">
        <f t="shared" si="13"/>
        <v>9.4342062770062088E-2</v>
      </c>
      <c r="K108" s="3"/>
      <c r="L108" s="3">
        <f t="shared" si="14"/>
        <v>36803.699999999997</v>
      </c>
      <c r="M108" s="3"/>
      <c r="N108" s="20">
        <f t="shared" si="15"/>
        <v>1.921964593451355</v>
      </c>
      <c r="O108" s="12"/>
      <c r="P108" s="3">
        <v>66360.179999999993</v>
      </c>
      <c r="Q108" s="3"/>
      <c r="R108" s="20">
        <f t="shared" si="16"/>
        <v>1.235652302060173E-2</v>
      </c>
      <c r="S108" s="3"/>
      <c r="T108" s="3">
        <v>30846.91</v>
      </c>
      <c r="U108" s="3"/>
      <c r="V108" s="20">
        <f t="shared" si="17"/>
        <v>7.5549638695601848E-3</v>
      </c>
      <c r="W108" s="3"/>
      <c r="X108" s="3">
        <f t="shared" si="18"/>
        <v>35513.26999999999</v>
      </c>
      <c r="Y108" s="3"/>
      <c r="Z108" s="20">
        <f t="shared" si="19"/>
        <v>1.1512747954333187</v>
      </c>
    </row>
    <row r="109" spans="1:26" s="69" customFormat="1" ht="15" hidden="1" customHeight="1" outlineLevel="1" x14ac:dyDescent="0.3">
      <c r="A109" s="42"/>
      <c r="B109" s="12" t="str">
        <f>CONCATENATE("          ","5086"," - ","PURCHASES @ COST-COMPUTER SUPP")</f>
        <v xml:space="preserve">          5086 - PURCHASES @ COST-COMPUTER SUPP</v>
      </c>
      <c r="C109" s="12"/>
      <c r="D109" s="3"/>
      <c r="E109" s="3"/>
      <c r="F109" s="20">
        <f t="shared" si="12"/>
        <v>0</v>
      </c>
      <c r="G109" s="3"/>
      <c r="H109" s="3">
        <v>13.21</v>
      </c>
      <c r="I109" s="3"/>
      <c r="J109" s="20">
        <f t="shared" si="13"/>
        <v>6.5082179183901005E-5</v>
      </c>
      <c r="K109" s="3"/>
      <c r="L109" s="3">
        <f t="shared" si="14"/>
        <v>-13.21</v>
      </c>
      <c r="M109" s="3"/>
      <c r="N109" s="20">
        <f t="shared" si="15"/>
        <v>-1</v>
      </c>
      <c r="O109" s="12"/>
      <c r="P109" s="3"/>
      <c r="Q109" s="3"/>
      <c r="R109" s="20">
        <f t="shared" si="16"/>
        <v>0</v>
      </c>
      <c r="S109" s="3"/>
      <c r="T109" s="3">
        <v>13.21</v>
      </c>
      <c r="U109" s="3"/>
      <c r="V109" s="20">
        <f t="shared" si="17"/>
        <v>3.2353669368144183E-6</v>
      </c>
      <c r="W109" s="3"/>
      <c r="X109" s="3">
        <f t="shared" si="18"/>
        <v>-13.21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","5092"," - ","PURCHASES @ COST-GRAD MERCH")</f>
        <v xml:space="preserve">          5092 - PURCHASES @ COST-GRAD MERCH</v>
      </c>
      <c r="C110" s="12"/>
      <c r="D110" s="3"/>
      <c r="E110" s="3"/>
      <c r="F110" s="20">
        <f t="shared" si="12"/>
        <v>0</v>
      </c>
      <c r="G110" s="3"/>
      <c r="H110" s="3"/>
      <c r="I110" s="3"/>
      <c r="J110" s="20">
        <f t="shared" si="13"/>
        <v>0</v>
      </c>
      <c r="K110" s="3"/>
      <c r="L110" s="3">
        <f t="shared" si="14"/>
        <v>0</v>
      </c>
      <c r="M110" s="3"/>
      <c r="N110" s="20">
        <f t="shared" si="15"/>
        <v>0</v>
      </c>
      <c r="O110" s="12"/>
      <c r="P110" s="3"/>
      <c r="Q110" s="3"/>
      <c r="R110" s="20">
        <f t="shared" si="16"/>
        <v>0</v>
      </c>
      <c r="S110" s="3"/>
      <c r="T110" s="3">
        <v>0</v>
      </c>
      <c r="U110" s="3"/>
      <c r="V110" s="20">
        <f t="shared" si="17"/>
        <v>0</v>
      </c>
      <c r="W110" s="3"/>
      <c r="X110" s="3">
        <f t="shared" si="18"/>
        <v>0</v>
      </c>
      <c r="Y110" s="3"/>
      <c r="Z110" s="20">
        <f t="shared" si="19"/>
        <v>0</v>
      </c>
    </row>
    <row r="111" spans="1:26" s="69" customFormat="1" ht="15" hidden="1" customHeight="1" outlineLevel="1" x14ac:dyDescent="0.3">
      <c r="A111" s="42"/>
      <c r="B111" s="12" t="str">
        <f>CONCATENATE("          ","5200"," - ","PURCHASES OFFSET")</f>
        <v xml:space="preserve">          5200 - PURCHASES OFFSET</v>
      </c>
      <c r="C111" s="12"/>
      <c r="D111" s="3">
        <v>-388061.48</v>
      </c>
      <c r="E111" s="3"/>
      <c r="F111" s="20">
        <f t="shared" si="12"/>
        <v>-0.44475338446682666</v>
      </c>
      <c r="G111" s="3"/>
      <c r="H111" s="3">
        <v>154765.96</v>
      </c>
      <c r="I111" s="3"/>
      <c r="J111" s="20">
        <f t="shared" si="13"/>
        <v>0.76249098715279739</v>
      </c>
      <c r="K111" s="3"/>
      <c r="L111" s="3">
        <f t="shared" si="14"/>
        <v>-542827.43999999994</v>
      </c>
      <c r="M111" s="3"/>
      <c r="N111" s="20">
        <f t="shared" si="15"/>
        <v>-3.5074084766443474</v>
      </c>
      <c r="O111" s="12"/>
      <c r="P111" s="3">
        <v>-3212045.64</v>
      </c>
      <c r="Q111" s="3"/>
      <c r="R111" s="20">
        <f t="shared" si="16"/>
        <v>-0.59809536221697135</v>
      </c>
      <c r="S111" s="3"/>
      <c r="T111" s="3">
        <v>-1981017.44</v>
      </c>
      <c r="U111" s="3"/>
      <c r="V111" s="20">
        <f t="shared" si="17"/>
        <v>-0.48518685288635433</v>
      </c>
      <c r="W111" s="3"/>
      <c r="X111" s="3">
        <f t="shared" si="18"/>
        <v>-1231028.2000000002</v>
      </c>
      <c r="Y111" s="3"/>
      <c r="Z111" s="20">
        <f t="shared" si="19"/>
        <v>0.62141209620042526</v>
      </c>
    </row>
    <row r="112" spans="1:26" s="69" customFormat="1" ht="15" hidden="1" customHeight="1" outlineLevel="1" x14ac:dyDescent="0.3">
      <c r="A112" s="42"/>
      <c r="B112" s="12" t="str">
        <f>CONCATENATE("          ","5300"," - ","COG$ OFFSET")</f>
        <v xml:space="preserve">          5300 - COG$ OFFSET</v>
      </c>
      <c r="C112" s="12"/>
      <c r="D112" s="3">
        <v>362141.86</v>
      </c>
      <c r="E112" s="3"/>
      <c r="F112" s="20">
        <f t="shared" si="12"/>
        <v>0.41504716699042565</v>
      </c>
      <c r="G112" s="3"/>
      <c r="H112" s="3">
        <v>104323</v>
      </c>
      <c r="I112" s="3"/>
      <c r="J112" s="20">
        <f t="shared" si="13"/>
        <v>0.51397185306601845</v>
      </c>
      <c r="K112" s="3"/>
      <c r="L112" s="3">
        <f t="shared" si="14"/>
        <v>257818.86</v>
      </c>
      <c r="M112" s="3"/>
      <c r="N112" s="20">
        <f t="shared" si="15"/>
        <v>2.4713520508420959</v>
      </c>
      <c r="O112" s="12"/>
      <c r="P112" s="3">
        <v>2737158.53</v>
      </c>
      <c r="Q112" s="3"/>
      <c r="R112" s="20">
        <f t="shared" si="16"/>
        <v>0.5096695395790275</v>
      </c>
      <c r="S112" s="3"/>
      <c r="T112" s="3">
        <v>2079913</v>
      </c>
      <c r="U112" s="3"/>
      <c r="V112" s="20">
        <f t="shared" si="17"/>
        <v>0.50940815682441232</v>
      </c>
      <c r="W112" s="3"/>
      <c r="X112" s="3">
        <f t="shared" si="18"/>
        <v>657245.5299999998</v>
      </c>
      <c r="Y112" s="3"/>
      <c r="Z112" s="20">
        <f t="shared" si="19"/>
        <v>0.31599664505198044</v>
      </c>
    </row>
    <row r="113" spans="1:26" s="69" customFormat="1" ht="15" hidden="1" customHeight="1" outlineLevel="1" x14ac:dyDescent="0.3">
      <c r="A113" s="42"/>
      <c r="B113" s="12" t="str">
        <f>CONCATENATE("          ","5500"," - ","FREIGHT-IN")</f>
        <v xml:space="preserve">          5500 - FREIGHT-IN</v>
      </c>
      <c r="C113" s="12"/>
      <c r="D113" s="3">
        <v>31603.919999999998</v>
      </c>
      <c r="E113" s="3"/>
      <c r="F113" s="20">
        <f t="shared" si="12"/>
        <v>3.6220936905200778E-2</v>
      </c>
      <c r="G113" s="3"/>
      <c r="H113" s="3">
        <v>0</v>
      </c>
      <c r="I113" s="3"/>
      <c r="J113" s="20">
        <f t="shared" si="13"/>
        <v>0</v>
      </c>
      <c r="K113" s="3"/>
      <c r="L113" s="3">
        <f t="shared" si="14"/>
        <v>31603.919999999998</v>
      </c>
      <c r="M113" s="3"/>
      <c r="N113" s="20">
        <f t="shared" si="15"/>
        <v>0</v>
      </c>
      <c r="O113" s="12"/>
      <c r="P113" s="3">
        <v>123789.78</v>
      </c>
      <c r="Q113" s="3"/>
      <c r="R113" s="20">
        <f t="shared" si="16"/>
        <v>2.3050137390905567E-2</v>
      </c>
      <c r="S113" s="3"/>
      <c r="T113" s="3">
        <v>0</v>
      </c>
      <c r="U113" s="3"/>
      <c r="V113" s="20">
        <f t="shared" si="17"/>
        <v>0</v>
      </c>
      <c r="W113" s="3"/>
      <c r="X113" s="3">
        <f t="shared" si="18"/>
        <v>123789.78</v>
      </c>
      <c r="Y113" s="3"/>
      <c r="Z113" s="20">
        <f t="shared" si="19"/>
        <v>0</v>
      </c>
    </row>
    <row r="114" spans="1:26" s="69" customFormat="1" ht="15" hidden="1" customHeight="1" outlineLevel="1" x14ac:dyDescent="0.3">
      <c r="A114" s="42"/>
      <c r="B114" s="12" t="str">
        <f>CONCATENATE("          ","5501"," - ","FREIGHT-IN-NEW TEXT")</f>
        <v xml:space="preserve">          5501 - FREIGHT-IN-NEW TEXT</v>
      </c>
      <c r="C114" s="12"/>
      <c r="D114" s="3"/>
      <c r="E114" s="3"/>
      <c r="F114" s="20">
        <f t="shared" si="12"/>
        <v>0</v>
      </c>
      <c r="G114" s="3"/>
      <c r="H114" s="3">
        <v>4638.13</v>
      </c>
      <c r="I114" s="3"/>
      <c r="J114" s="20">
        <f t="shared" si="13"/>
        <v>2.285084085830634E-2</v>
      </c>
      <c r="K114" s="3"/>
      <c r="L114" s="3">
        <f t="shared" si="14"/>
        <v>-4638.13</v>
      </c>
      <c r="M114" s="3"/>
      <c r="N114" s="20">
        <f t="shared" si="15"/>
        <v>-1</v>
      </c>
      <c r="O114" s="12"/>
      <c r="P114" s="3">
        <v>0</v>
      </c>
      <c r="Q114" s="3"/>
      <c r="R114" s="20">
        <f t="shared" si="16"/>
        <v>0</v>
      </c>
      <c r="S114" s="3"/>
      <c r="T114" s="3">
        <v>49256.92</v>
      </c>
      <c r="U114" s="3"/>
      <c r="V114" s="20">
        <f t="shared" si="17"/>
        <v>1.2063906917283335E-2</v>
      </c>
      <c r="W114" s="3"/>
      <c r="X114" s="3">
        <f t="shared" si="18"/>
        <v>-49256.92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","5502"," - ","FREIGHT-IN-USED TEXT")</f>
        <v xml:space="preserve">          5502 - FREIGHT-IN-USED TEXT</v>
      </c>
      <c r="C115" s="12"/>
      <c r="D115" s="3"/>
      <c r="E115" s="3"/>
      <c r="F115" s="20">
        <f t="shared" si="12"/>
        <v>0</v>
      </c>
      <c r="G115" s="3"/>
      <c r="H115" s="3">
        <v>1484.45</v>
      </c>
      <c r="I115" s="3"/>
      <c r="J115" s="20">
        <f t="shared" si="13"/>
        <v>7.3134928758169446E-3</v>
      </c>
      <c r="K115" s="3"/>
      <c r="L115" s="3">
        <f t="shared" si="14"/>
        <v>-1484.45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17136.759999999998</v>
      </c>
      <c r="U115" s="3"/>
      <c r="V115" s="20">
        <f t="shared" si="17"/>
        <v>4.1971011891085422E-3</v>
      </c>
      <c r="W115" s="3"/>
      <c r="X115" s="3">
        <f t="shared" si="18"/>
        <v>-17136.759999999998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","5504"," - ","FREIGHT-IN-DIGITAL TEXT")</f>
        <v xml:space="preserve">          5504 - FREIGHT-IN-DIGITAL TEXT</v>
      </c>
      <c r="C116" s="12"/>
      <c r="D116" s="3"/>
      <c r="E116" s="3"/>
      <c r="F116" s="20">
        <f t="shared" si="12"/>
        <v>0</v>
      </c>
      <c r="G116" s="3"/>
      <c r="H116" s="3">
        <v>6.94</v>
      </c>
      <c r="I116" s="3"/>
      <c r="J116" s="20">
        <f t="shared" si="13"/>
        <v>3.4191546066334063E-5</v>
      </c>
      <c r="K116" s="3"/>
      <c r="L116" s="3">
        <f t="shared" si="14"/>
        <v>-6.94</v>
      </c>
      <c r="M116" s="3"/>
      <c r="N116" s="20">
        <f t="shared" si="15"/>
        <v>-1</v>
      </c>
      <c r="O116" s="12"/>
      <c r="P116" s="3"/>
      <c r="Q116" s="3"/>
      <c r="R116" s="20">
        <f t="shared" si="16"/>
        <v>0</v>
      </c>
      <c r="S116" s="3"/>
      <c r="T116" s="3">
        <v>28.92</v>
      </c>
      <c r="U116" s="3"/>
      <c r="V116" s="20">
        <f t="shared" si="17"/>
        <v>7.0830289033060543E-6</v>
      </c>
      <c r="W116" s="3"/>
      <c r="X116" s="3">
        <f t="shared" si="18"/>
        <v>-28.92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","5513"," - ","FREIGHT-IN-TRADE BOOKS")</f>
        <v xml:space="preserve">          5513 - FREIGHT-IN-TRADE BOOKS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/>
      <c r="Q117" s="3"/>
      <c r="R117" s="20">
        <f t="shared" si="16"/>
        <v>0</v>
      </c>
      <c r="S117" s="3"/>
      <c r="T117" s="3">
        <v>33.520000000000003</v>
      </c>
      <c r="U117" s="3"/>
      <c r="V117" s="20">
        <f t="shared" si="17"/>
        <v>8.2096517579121348E-6</v>
      </c>
      <c r="W117" s="3"/>
      <c r="X117" s="3">
        <f t="shared" si="18"/>
        <v>-33.520000000000003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","5518"," - ","FREIGHT-IN-STUDY GUIDES")</f>
        <v xml:space="preserve">          5518 - FREIGHT-IN-STUDY GUIDES</v>
      </c>
      <c r="C118" s="12"/>
      <c r="D118" s="3"/>
      <c r="E118" s="3"/>
      <c r="F118" s="20">
        <f t="shared" si="12"/>
        <v>0</v>
      </c>
      <c r="G118" s="3"/>
      <c r="H118" s="3"/>
      <c r="I118" s="3"/>
      <c r="J118" s="20">
        <f t="shared" si="13"/>
        <v>0</v>
      </c>
      <c r="K118" s="3"/>
      <c r="L118" s="3">
        <f t="shared" si="14"/>
        <v>0</v>
      </c>
      <c r="M118" s="3"/>
      <c r="N118" s="20">
        <f t="shared" si="15"/>
        <v>0</v>
      </c>
      <c r="O118" s="12"/>
      <c r="P118" s="3">
        <v>0</v>
      </c>
      <c r="Q118" s="3"/>
      <c r="R118" s="20">
        <f t="shared" si="16"/>
        <v>0</v>
      </c>
      <c r="S118" s="3"/>
      <c r="T118" s="3"/>
      <c r="U118" s="3"/>
      <c r="V118" s="20">
        <f t="shared" si="17"/>
        <v>0</v>
      </c>
      <c r="W118" s="3"/>
      <c r="X118" s="3">
        <f t="shared" si="18"/>
        <v>0</v>
      </c>
      <c r="Y118" s="3"/>
      <c r="Z118" s="20">
        <f t="shared" si="19"/>
        <v>0</v>
      </c>
    </row>
    <row r="119" spans="1:26" s="69" customFormat="1" ht="15" hidden="1" customHeight="1" outlineLevel="1" x14ac:dyDescent="0.3">
      <c r="A119" s="42"/>
      <c r="B119" s="12" t="str">
        <f>CONCATENATE("          ","5525"," - ","FREIGHT-IN-TEST FORMS")</f>
        <v xml:space="preserve">          5525 - FREIGHT-IN-TEST FORMS</v>
      </c>
      <c r="C119" s="12"/>
      <c r="D119" s="3"/>
      <c r="E119" s="3"/>
      <c r="F119" s="20">
        <f t="shared" si="12"/>
        <v>0</v>
      </c>
      <c r="G119" s="3"/>
      <c r="H119" s="3"/>
      <c r="I119" s="3"/>
      <c r="J119" s="20">
        <f t="shared" si="13"/>
        <v>0</v>
      </c>
      <c r="K119" s="3"/>
      <c r="L119" s="3">
        <f t="shared" si="14"/>
        <v>0</v>
      </c>
      <c r="M119" s="3"/>
      <c r="N119" s="20">
        <f t="shared" si="15"/>
        <v>0</v>
      </c>
      <c r="O119" s="12"/>
      <c r="P119" s="3"/>
      <c r="Q119" s="3"/>
      <c r="R119" s="20">
        <f t="shared" si="16"/>
        <v>0</v>
      </c>
      <c r="S119" s="3"/>
      <c r="T119" s="3">
        <v>48.14</v>
      </c>
      <c r="U119" s="3"/>
      <c r="V119" s="20">
        <f t="shared" si="17"/>
        <v>1.1790353091464504E-5</v>
      </c>
      <c r="W119" s="3"/>
      <c r="X119" s="3">
        <f t="shared" si="18"/>
        <v>-48.14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","5526"," - ","FREIGHT-IN-WRITING INSTRUMENTS")</f>
        <v xml:space="preserve">          5526 - FREIGHT-IN-WRITING INSTRUMENTS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/>
      <c r="Q120" s="3"/>
      <c r="R120" s="20">
        <f t="shared" si="16"/>
        <v>0</v>
      </c>
      <c r="S120" s="3"/>
      <c r="T120" s="3">
        <v>0</v>
      </c>
      <c r="U120" s="3"/>
      <c r="V120" s="20">
        <f t="shared" si="17"/>
        <v>0</v>
      </c>
      <c r="W120" s="3"/>
      <c r="X120" s="3">
        <f t="shared" si="18"/>
        <v>0</v>
      </c>
      <c r="Y120" s="3"/>
      <c r="Z120" s="20">
        <f t="shared" si="19"/>
        <v>0</v>
      </c>
    </row>
    <row r="121" spans="1:26" s="69" customFormat="1" ht="15" hidden="1" customHeight="1" outlineLevel="1" x14ac:dyDescent="0.3">
      <c r="A121" s="42"/>
      <c r="B121" s="12" t="str">
        <f>CONCATENATE("          ","5527"," - ","FREIGHT-IN-SCHOOL SUPPLIES")</f>
        <v xml:space="preserve">          5527 - FREIGHT-IN-SCHOOL SUPPLIES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>
        <v>0</v>
      </c>
      <c r="Q121" s="3"/>
      <c r="R121" s="20">
        <f t="shared" si="16"/>
        <v>0</v>
      </c>
      <c r="S121" s="3"/>
      <c r="T121" s="3">
        <v>177.5</v>
      </c>
      <c r="U121" s="3"/>
      <c r="V121" s="20">
        <f t="shared" si="17"/>
        <v>4.3472947107082458E-5</v>
      </c>
      <c r="W121" s="3"/>
      <c r="X121" s="3">
        <f t="shared" si="18"/>
        <v>-177.5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","5528"," - ","FREIGHT-IN-ART/TECH")</f>
        <v xml:space="preserve">          5528 - FREIGHT-IN-ART/TECH</v>
      </c>
      <c r="C122" s="12"/>
      <c r="D122" s="3"/>
      <c r="E122" s="3"/>
      <c r="F122" s="20">
        <f t="shared" si="12"/>
        <v>0</v>
      </c>
      <c r="G122" s="3"/>
      <c r="H122" s="3">
        <v>12.76</v>
      </c>
      <c r="I122" s="3"/>
      <c r="J122" s="20">
        <f t="shared" si="13"/>
        <v>6.2865148098908153E-5</v>
      </c>
      <c r="K122" s="3"/>
      <c r="L122" s="3">
        <f t="shared" si="14"/>
        <v>-12.76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351.5</v>
      </c>
      <c r="U122" s="3"/>
      <c r="V122" s="20">
        <f t="shared" si="17"/>
        <v>8.60886811726168E-5</v>
      </c>
      <c r="W122" s="3"/>
      <c r="X122" s="3">
        <f t="shared" si="18"/>
        <v>-351.5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","5540"," - ","FREIGHT-IN-LOGO CLOTHING")</f>
        <v xml:space="preserve">          5540 - FREIGHT-IN-LOGO CLOTHING</v>
      </c>
      <c r="C123" s="12"/>
      <c r="D123" s="3"/>
      <c r="E123" s="3"/>
      <c r="F123" s="20">
        <f t="shared" si="12"/>
        <v>0</v>
      </c>
      <c r="G123" s="3"/>
      <c r="H123" s="3">
        <v>150.6</v>
      </c>
      <c r="I123" s="3"/>
      <c r="J123" s="20">
        <f t="shared" si="13"/>
        <v>7.419664031109379E-4</v>
      </c>
      <c r="K123" s="3"/>
      <c r="L123" s="3">
        <f t="shared" si="14"/>
        <v>-150.6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5941.23</v>
      </c>
      <c r="U123" s="3"/>
      <c r="V123" s="20">
        <f t="shared" si="17"/>
        <v>1.4551142396676702E-3</v>
      </c>
      <c r="W123" s="3"/>
      <c r="X123" s="3">
        <f t="shared" si="18"/>
        <v>-5941.23</v>
      </c>
      <c r="Y123" s="3"/>
      <c r="Z123" s="20">
        <f t="shared" si="19"/>
        <v>-1</v>
      </c>
    </row>
    <row r="124" spans="1:26" s="69" customFormat="1" ht="15" hidden="1" customHeight="1" outlineLevel="1" x14ac:dyDescent="0.3">
      <c r="A124" s="42"/>
      <c r="B124" s="12" t="str">
        <f>CONCATENATE("          ","5541"," - ","FREIGHT-IN-LOGO GIFTS")</f>
        <v xml:space="preserve">          5541 - FREIGHT-IN-LOGO GIFTS</v>
      </c>
      <c r="C124" s="12"/>
      <c r="D124" s="3"/>
      <c r="E124" s="3"/>
      <c r="F124" s="20">
        <f t="shared" si="12"/>
        <v>0</v>
      </c>
      <c r="G124" s="3"/>
      <c r="H124" s="3">
        <v>375.06</v>
      </c>
      <c r="I124" s="3"/>
      <c r="J124" s="20">
        <f t="shared" si="13"/>
        <v>1.8478215083053678E-3</v>
      </c>
      <c r="K124" s="3"/>
      <c r="L124" s="3">
        <f t="shared" si="14"/>
        <v>-375.06</v>
      </c>
      <c r="M124" s="3"/>
      <c r="N124" s="20">
        <f t="shared" si="15"/>
        <v>-1</v>
      </c>
      <c r="O124" s="12"/>
      <c r="P124" s="3">
        <v>0</v>
      </c>
      <c r="Q124" s="3"/>
      <c r="R124" s="20">
        <f t="shared" si="16"/>
        <v>0</v>
      </c>
      <c r="S124" s="3"/>
      <c r="T124" s="3">
        <v>2077.9299999999998</v>
      </c>
      <c r="U124" s="3"/>
      <c r="V124" s="20">
        <f t="shared" si="17"/>
        <v>5.0892248440687234E-4</v>
      </c>
      <c r="W124" s="3"/>
      <c r="X124" s="3">
        <f t="shared" si="18"/>
        <v>-2077.9299999999998</v>
      </c>
      <c r="Y124" s="3"/>
      <c r="Z124" s="20">
        <f t="shared" si="19"/>
        <v>-1</v>
      </c>
    </row>
    <row r="125" spans="1:26" s="69" customFormat="1" ht="15" hidden="1" customHeight="1" outlineLevel="1" x14ac:dyDescent="0.3">
      <c r="A125" s="42"/>
      <c r="B125" s="12" t="str">
        <f>CONCATENATE("          ","5542"," - ","FREIGHT-IN-EVERYDAY GIFTS")</f>
        <v xml:space="preserve">          5542 - FREIGHT-IN-EVERYDAY GIFTS</v>
      </c>
      <c r="C125" s="12"/>
      <c r="D125" s="3"/>
      <c r="E125" s="3"/>
      <c r="F125" s="20">
        <f t="shared" si="12"/>
        <v>0</v>
      </c>
      <c r="G125" s="3"/>
      <c r="H125" s="3"/>
      <c r="I125" s="3"/>
      <c r="J125" s="20">
        <f t="shared" si="13"/>
        <v>0</v>
      </c>
      <c r="K125" s="3"/>
      <c r="L125" s="3">
        <f t="shared" si="14"/>
        <v>0</v>
      </c>
      <c r="M125" s="3"/>
      <c r="N125" s="20">
        <f t="shared" si="15"/>
        <v>0</v>
      </c>
      <c r="O125" s="12"/>
      <c r="P125" s="3">
        <v>0</v>
      </c>
      <c r="Q125" s="3"/>
      <c r="R125" s="20">
        <f t="shared" si="16"/>
        <v>0</v>
      </c>
      <c r="S125" s="3"/>
      <c r="T125" s="3">
        <v>383.93</v>
      </c>
      <c r="U125" s="3"/>
      <c r="V125" s="20">
        <f t="shared" si="17"/>
        <v>9.403137229758967E-5</v>
      </c>
      <c r="W125" s="3"/>
      <c r="X125" s="3">
        <f t="shared" si="18"/>
        <v>-383.93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","5543"," - ","FREIGHT-IN-CARDS")</f>
        <v xml:space="preserve">          5543 - FREIGHT-IN-CARDS</v>
      </c>
      <c r="C126" s="12"/>
      <c r="D126" s="3"/>
      <c r="E126" s="3"/>
      <c r="F126" s="20">
        <f t="shared" si="12"/>
        <v>0</v>
      </c>
      <c r="G126" s="3"/>
      <c r="H126" s="3"/>
      <c r="I126" s="3"/>
      <c r="J126" s="20">
        <f t="shared" si="13"/>
        <v>0</v>
      </c>
      <c r="K126" s="3"/>
      <c r="L126" s="3">
        <f t="shared" si="14"/>
        <v>0</v>
      </c>
      <c r="M126" s="3"/>
      <c r="N126" s="20">
        <f t="shared" si="15"/>
        <v>0</v>
      </c>
      <c r="O126" s="12"/>
      <c r="P126" s="3"/>
      <c r="Q126" s="3"/>
      <c r="R126" s="20">
        <f t="shared" si="16"/>
        <v>0</v>
      </c>
      <c r="S126" s="3"/>
      <c r="T126" s="3">
        <v>9110.5300000000007</v>
      </c>
      <c r="U126" s="3"/>
      <c r="V126" s="20">
        <f t="shared" si="17"/>
        <v>2.2313328946900728E-3</v>
      </c>
      <c r="W126" s="3"/>
      <c r="X126" s="3">
        <f t="shared" si="18"/>
        <v>-9110.5300000000007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","5544"," - ","FREIGHT-IN-ACCESSORIES")</f>
        <v xml:space="preserve">          5544 - FREIGHT-IN-ACCESSORIES</v>
      </c>
      <c r="C127" s="12"/>
      <c r="D127" s="3"/>
      <c r="E127" s="3"/>
      <c r="F127" s="20">
        <f t="shared" si="12"/>
        <v>0</v>
      </c>
      <c r="G127" s="3"/>
      <c r="H127" s="3"/>
      <c r="I127" s="3"/>
      <c r="J127" s="20">
        <f t="shared" si="13"/>
        <v>0</v>
      </c>
      <c r="K127" s="3"/>
      <c r="L127" s="3">
        <f t="shared" si="14"/>
        <v>0</v>
      </c>
      <c r="M127" s="3"/>
      <c r="N127" s="20">
        <f t="shared" si="15"/>
        <v>0</v>
      </c>
      <c r="O127" s="12"/>
      <c r="P127" s="3">
        <v>0</v>
      </c>
      <c r="Q127" s="3"/>
      <c r="R127" s="20">
        <f t="shared" si="16"/>
        <v>0</v>
      </c>
      <c r="S127" s="3"/>
      <c r="T127" s="3"/>
      <c r="U127" s="3"/>
      <c r="V127" s="20">
        <f t="shared" si="17"/>
        <v>0</v>
      </c>
      <c r="W127" s="3"/>
      <c r="X127" s="3">
        <f t="shared" si="18"/>
        <v>0</v>
      </c>
      <c r="Y127" s="3"/>
      <c r="Z127" s="20">
        <f t="shared" si="19"/>
        <v>0</v>
      </c>
    </row>
    <row r="128" spans="1:26" s="69" customFormat="1" ht="15" hidden="1" customHeight="1" outlineLevel="1" x14ac:dyDescent="0.3">
      <c r="A128" s="42"/>
      <c r="B128" s="12" t="str">
        <f>CONCATENATE("          ","5545"," - ","FREIGHT-IN-SPECIAL ORDERS")</f>
        <v xml:space="preserve">          5545 - FREIGHT-IN-SPECIAL ORDERS</v>
      </c>
      <c r="C128" s="12"/>
      <c r="D128" s="3"/>
      <c r="E128" s="3"/>
      <c r="F128" s="20">
        <f t="shared" si="12"/>
        <v>0</v>
      </c>
      <c r="G128" s="3"/>
      <c r="H128" s="3">
        <v>134.74</v>
      </c>
      <c r="I128" s="3"/>
      <c r="J128" s="20">
        <f t="shared" si="13"/>
        <v>6.6382837420430132E-4</v>
      </c>
      <c r="K128" s="3"/>
      <c r="L128" s="3">
        <f t="shared" si="14"/>
        <v>-134.74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1248.53</v>
      </c>
      <c r="U128" s="3"/>
      <c r="V128" s="20">
        <f t="shared" si="17"/>
        <v>3.0578748536115862E-4</v>
      </c>
      <c r="W128" s="3"/>
      <c r="X128" s="3">
        <f t="shared" si="18"/>
        <v>-1248.53</v>
      </c>
      <c r="Y128" s="3"/>
      <c r="Z128" s="20">
        <f t="shared" si="19"/>
        <v>-1</v>
      </c>
    </row>
    <row r="129" spans="1:26" s="69" customFormat="1" ht="15" hidden="1" customHeight="1" outlineLevel="1" x14ac:dyDescent="0.3">
      <c r="A129" s="42"/>
      <c r="B129" s="12" t="str">
        <f>CONCATENATE("          ","5592"," - ","FREIGHT-IN-GRAD MERCH")</f>
        <v xml:space="preserve">          5592 - FREIGHT-IN-GRAD MERCH</v>
      </c>
      <c r="C129" s="12"/>
      <c r="D129" s="3"/>
      <c r="E129" s="3"/>
      <c r="F129" s="20">
        <f t="shared" si="12"/>
        <v>0</v>
      </c>
      <c r="G129" s="3"/>
      <c r="H129" s="3"/>
      <c r="I129" s="3"/>
      <c r="J129" s="20">
        <f t="shared" si="13"/>
        <v>0</v>
      </c>
      <c r="K129" s="3"/>
      <c r="L129" s="3">
        <f t="shared" si="14"/>
        <v>0</v>
      </c>
      <c r="M129" s="3"/>
      <c r="N129" s="20">
        <f t="shared" si="15"/>
        <v>0</v>
      </c>
      <c r="O129" s="12"/>
      <c r="P129" s="3"/>
      <c r="Q129" s="3"/>
      <c r="R129" s="20">
        <f t="shared" si="16"/>
        <v>0</v>
      </c>
      <c r="S129" s="3"/>
      <c r="T129" s="3">
        <v>0</v>
      </c>
      <c r="U129" s="3"/>
      <c r="V129" s="20">
        <f t="shared" si="17"/>
        <v>0</v>
      </c>
      <c r="W129" s="3"/>
      <c r="X129" s="3">
        <f t="shared" si="18"/>
        <v>0</v>
      </c>
      <c r="Y129" s="3"/>
      <c r="Z129" s="20">
        <f t="shared" si="19"/>
        <v>0</v>
      </c>
    </row>
    <row r="130" spans="1:26" ht="15" customHeight="1" x14ac:dyDescent="0.3">
      <c r="A130" s="10"/>
      <c r="B130" s="11"/>
      <c r="C130" s="11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O130" s="11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2" customFormat="1" ht="15" customHeight="1" x14ac:dyDescent="0.3">
      <c r="A131" s="11"/>
      <c r="B131" s="28" t="s">
        <v>288</v>
      </c>
      <c r="C131" s="28"/>
      <c r="D131" s="23">
        <f>D12-D86</f>
        <v>429996.18999999994</v>
      </c>
      <c r="E131" s="15"/>
      <c r="F131" s="22">
        <f>IF(D$12=0,0,D131/D$12)</f>
        <v>0.49281433655909529</v>
      </c>
      <c r="G131" s="15"/>
      <c r="H131" s="23">
        <f>H12-H86</f>
        <v>67515.010000000038</v>
      </c>
      <c r="I131" s="15"/>
      <c r="J131" s="22">
        <f>IF(H$12=0,0,H131/H$12)</f>
        <v>0.33262861305245045</v>
      </c>
      <c r="K131" s="17"/>
      <c r="L131" s="23">
        <f>+D131-H131</f>
        <v>362481.17999999993</v>
      </c>
      <c r="M131" s="17"/>
      <c r="N131" s="22">
        <f>IF(H131=0,0,L131/H131)</f>
        <v>5.3688976717917942</v>
      </c>
      <c r="O131" s="27"/>
      <c r="P131" s="23">
        <f>P12-P86</f>
        <v>2212099.9300000006</v>
      </c>
      <c r="Q131" s="15"/>
      <c r="R131" s="22">
        <f>IF(P$12=0,0,P131/P$12)</f>
        <v>0.41190159081721123</v>
      </c>
      <c r="S131" s="15"/>
      <c r="T131" s="23">
        <f>T12-T86</f>
        <v>1432448.1399999992</v>
      </c>
      <c r="U131" s="15"/>
      <c r="V131" s="22">
        <f>IF(T$12=0,0,T131/T$12)</f>
        <v>0.35083235055694989</v>
      </c>
      <c r="W131" s="17"/>
      <c r="X131" s="23">
        <f>+P131-T131</f>
        <v>779651.79000000143</v>
      </c>
      <c r="Y131" s="17"/>
      <c r="Z131" s="22">
        <f>IF(T131=0,0,X131/T131)</f>
        <v>0.54427924350545909</v>
      </c>
    </row>
    <row r="132" spans="1:26" ht="15" customHeight="1" x14ac:dyDescent="0.3">
      <c r="A132" s="10"/>
      <c r="B132" s="11"/>
      <c r="C132" s="10"/>
      <c r="D132" s="2"/>
      <c r="E132" s="2"/>
      <c r="F132" s="6"/>
      <c r="G132" s="2"/>
      <c r="H132" s="2"/>
      <c r="I132" s="2"/>
      <c r="J132" s="6"/>
      <c r="K132" s="2"/>
      <c r="L132" s="2"/>
      <c r="M132" s="2"/>
      <c r="N132" s="6"/>
      <c r="O132" s="36"/>
      <c r="P132" s="2"/>
      <c r="Q132" s="2"/>
      <c r="R132" s="6"/>
      <c r="S132" s="2"/>
      <c r="T132" s="2"/>
      <c r="U132" s="2"/>
      <c r="V132" s="6"/>
      <c r="W132" s="2"/>
      <c r="X132" s="2"/>
      <c r="Y132" s="2"/>
      <c r="Z132" s="6"/>
    </row>
    <row r="133" spans="1:26" s="62" customFormat="1" ht="15" customHeight="1" x14ac:dyDescent="0.3">
      <c r="A133" s="11"/>
      <c r="B133" s="27" t="s">
        <v>289</v>
      </c>
      <c r="C133" s="11"/>
      <c r="D133" s="21" cm="1">
        <f t="array" ref="D133">SUM(OSRRefD22x_0)</f>
        <v>366531.93000000011</v>
      </c>
      <c r="E133" s="21"/>
      <c r="F133" s="30">
        <f t="shared" ref="F133:F164" si="20">IF(D$12=0,0,D133/D$12)</f>
        <v>0.42007858234900836</v>
      </c>
      <c r="G133" s="21"/>
      <c r="H133" s="21" cm="1">
        <f t="array" ref="H133">SUM(OSRRefH22x_0)</f>
        <v>265311.36000000004</v>
      </c>
      <c r="I133" s="21"/>
      <c r="J133" s="30">
        <f t="shared" ref="J133:J164" si="21">IF(H$12=0,0,H133/H$12)</f>
        <v>1.3071189607149483</v>
      </c>
      <c r="K133" s="5"/>
      <c r="L133" s="21">
        <f t="shared" ref="L133:L164" si="22">+D133-H133</f>
        <v>101220.57000000007</v>
      </c>
      <c r="M133" s="5"/>
      <c r="N133" s="30">
        <f t="shared" ref="N133:N164" si="23">IF(H133=0,0,L133/H133)</f>
        <v>0.38151615520722537</v>
      </c>
      <c r="O133" s="11"/>
      <c r="P133" s="21" cm="1">
        <f t="array" ref="P133">SUM(OSRRefP22x_0)</f>
        <v>2741329.65</v>
      </c>
      <c r="Q133" s="21"/>
      <c r="R133" s="30">
        <f t="shared" ref="R133:R164" si="24">IF(P$12=0,0,P133/P$12)</f>
        <v>0.51044621830867676</v>
      </c>
      <c r="S133" s="21"/>
      <c r="T133" s="21" cm="1">
        <f t="array" ref="T133">SUM(OSRRefT22x_0)</f>
        <v>2359666.6900000009</v>
      </c>
      <c r="U133" s="21"/>
      <c r="V133" s="30">
        <f t="shared" ref="V133:V164" si="25">IF(T$12=0,0,T133/T$12)</f>
        <v>0.57792487439275697</v>
      </c>
      <c r="W133" s="5"/>
      <c r="X133" s="21">
        <f t="shared" ref="X133:X164" si="26">+P133-T133</f>
        <v>381662.95999999903</v>
      </c>
      <c r="Y133" s="5"/>
      <c r="Z133" s="30">
        <f t="shared" ref="Z133:Z164" si="27">IF(T133=0,0,X133/T133)</f>
        <v>0.16174443688061677</v>
      </c>
    </row>
    <row r="134" spans="1:26" s="68" customFormat="1" ht="15" customHeight="1" outlineLevel="1" collapsed="1" x14ac:dyDescent="0.3">
      <c r="A134" s="25"/>
      <c r="B134" s="14" t="str">
        <f>CONCATENATE("     ","*Benefits                                         ")</f>
        <v xml:space="preserve">     *Benefits                                         </v>
      </c>
      <c r="C134" s="14"/>
      <c r="D134" s="2">
        <f>SUM(OSRRefD22_0x_0)</f>
        <v>27107.61</v>
      </c>
      <c r="E134" s="2"/>
      <c r="F134" s="6">
        <f t="shared" si="20"/>
        <v>3.106776094423697E-2</v>
      </c>
      <c r="G134" s="2"/>
      <c r="H134" s="2">
        <f>SUM(OSRRefH22_0x_0)</f>
        <v>45174.219999999994</v>
      </c>
      <c r="I134" s="2"/>
      <c r="J134" s="6">
        <f t="shared" si="21"/>
        <v>0.22256144440067854</v>
      </c>
      <c r="K134" s="2"/>
      <c r="L134" s="2">
        <f t="shared" si="22"/>
        <v>-18066.609999999993</v>
      </c>
      <c r="M134" s="2"/>
      <c r="N134" s="6">
        <f t="shared" si="23"/>
        <v>-0.39993186379311024</v>
      </c>
      <c r="O134" s="14"/>
      <c r="P134" s="2">
        <f>SUM(OSRRefP22_0x_0)</f>
        <v>395505.37000000005</v>
      </c>
      <c r="Q134" s="2"/>
      <c r="R134" s="6">
        <f t="shared" si="24"/>
        <v>7.3644634616370927E-2</v>
      </c>
      <c r="S134" s="2"/>
      <c r="T134" s="2">
        <f>SUM(OSRRefT22_0x_0)</f>
        <v>399654.95</v>
      </c>
      <c r="U134" s="2"/>
      <c r="V134" s="6">
        <f t="shared" si="25"/>
        <v>9.7882695788358787E-2</v>
      </c>
      <c r="W134" s="2"/>
      <c r="X134" s="2">
        <f t="shared" si="26"/>
        <v>-4149.5799999999581</v>
      </c>
      <c r="Y134" s="2"/>
      <c r="Z134" s="6">
        <f t="shared" si="27"/>
        <v>-1.03829065547667E-2</v>
      </c>
    </row>
    <row r="135" spans="1:26" s="69" customFormat="1" ht="15" hidden="1" customHeight="1" outlineLevel="2" x14ac:dyDescent="0.3">
      <c r="A135" s="26"/>
      <c r="B135" s="12" t="str">
        <f>CONCATENATE("          ","6111"," - ","F.I.C.A.")</f>
        <v xml:space="preserve">          6111 - F.I.C.A.</v>
      </c>
      <c r="C135" s="12"/>
      <c r="D135" s="8">
        <v>9125.8799999999992</v>
      </c>
      <c r="E135" s="3"/>
      <c r="F135" s="7">
        <f t="shared" si="20"/>
        <v>1.0459079876307549E-2</v>
      </c>
      <c r="G135" s="3"/>
      <c r="H135" s="8">
        <v>7541.13</v>
      </c>
      <c r="I135" s="3"/>
      <c r="J135" s="7">
        <f t="shared" si="21"/>
        <v>3.7153154724382388E-2</v>
      </c>
      <c r="K135" s="3"/>
      <c r="L135" s="8">
        <f t="shared" si="22"/>
        <v>1584.7499999999991</v>
      </c>
      <c r="M135" s="3"/>
      <c r="N135" s="7">
        <f t="shared" si="23"/>
        <v>0.21014755083124134</v>
      </c>
      <c r="O135" s="12"/>
      <c r="P135" s="8">
        <v>74211.73</v>
      </c>
      <c r="Q135" s="3"/>
      <c r="R135" s="7">
        <f t="shared" si="24"/>
        <v>1.3818512097822519E-2</v>
      </c>
      <c r="S135" s="3"/>
      <c r="T135" s="8">
        <v>74899.520000000004</v>
      </c>
      <c r="U135" s="3"/>
      <c r="V135" s="7">
        <f t="shared" si="25"/>
        <v>1.8344241528483744E-2</v>
      </c>
      <c r="W135" s="3"/>
      <c r="X135" s="8">
        <f t="shared" si="26"/>
        <v>-687.79000000000815</v>
      </c>
      <c r="Y135" s="3"/>
      <c r="Z135" s="7">
        <f t="shared" si="27"/>
        <v>-9.1828358846626542E-3</v>
      </c>
    </row>
    <row r="136" spans="1:26" s="69" customFormat="1" ht="15" hidden="1" customHeight="1" outlineLevel="2" x14ac:dyDescent="0.3">
      <c r="A136" s="26"/>
      <c r="B136" s="12" t="str">
        <f>CONCATENATE("          ","6112"," - ","COMPENSATION INSURANCE")</f>
        <v xml:space="preserve">          6112 - COMPENSATION INSURANCE</v>
      </c>
      <c r="C136" s="12"/>
      <c r="D136" s="8">
        <v>3073.4</v>
      </c>
      <c r="E136" s="3"/>
      <c r="F136" s="7">
        <f t="shared" si="20"/>
        <v>3.5223930286003785E-3</v>
      </c>
      <c r="G136" s="3"/>
      <c r="H136" s="8">
        <v>1772.31</v>
      </c>
      <c r="I136" s="3"/>
      <c r="J136" s="7">
        <f t="shared" si="21"/>
        <v>8.7317030272081424E-3</v>
      </c>
      <c r="K136" s="3"/>
      <c r="L136" s="8">
        <f t="shared" si="22"/>
        <v>1301.0900000000001</v>
      </c>
      <c r="M136" s="3"/>
      <c r="N136" s="7">
        <f t="shared" si="23"/>
        <v>0.73412100591882923</v>
      </c>
      <c r="O136" s="12"/>
      <c r="P136" s="8">
        <v>20897.439999999999</v>
      </c>
      <c r="Q136" s="3"/>
      <c r="R136" s="7">
        <f t="shared" si="24"/>
        <v>3.8911844186022915E-3</v>
      </c>
      <c r="S136" s="3"/>
      <c r="T136" s="8">
        <v>19092.55</v>
      </c>
      <c r="U136" s="3"/>
      <c r="V136" s="7">
        <f t="shared" si="25"/>
        <v>4.6761093875455047E-3</v>
      </c>
      <c r="W136" s="3"/>
      <c r="X136" s="8">
        <f t="shared" si="26"/>
        <v>1804.8899999999994</v>
      </c>
      <c r="Y136" s="3"/>
      <c r="Z136" s="7">
        <f t="shared" si="27"/>
        <v>9.4533731743533439E-2</v>
      </c>
    </row>
    <row r="137" spans="1:26" s="69" customFormat="1" ht="15" hidden="1" customHeight="1" outlineLevel="2" x14ac:dyDescent="0.3">
      <c r="A137" s="26"/>
      <c r="B137" s="12" t="str">
        <f>CONCATENATE("          ","6113"," - ","GROUP INSURANCE")</f>
        <v xml:space="preserve">          6113 - GROUP INSURANCE</v>
      </c>
      <c r="C137" s="12"/>
      <c r="D137" s="8">
        <v>17210.37</v>
      </c>
      <c r="E137" s="3"/>
      <c r="F137" s="7">
        <f t="shared" si="20"/>
        <v>1.9724633079857192E-2</v>
      </c>
      <c r="G137" s="3"/>
      <c r="H137" s="8">
        <v>18287.8</v>
      </c>
      <c r="I137" s="3"/>
      <c r="J137" s="7">
        <f t="shared" si="21"/>
        <v>9.0099157946960232E-2</v>
      </c>
      <c r="K137" s="3"/>
      <c r="L137" s="8">
        <f t="shared" si="22"/>
        <v>-1077.4300000000003</v>
      </c>
      <c r="M137" s="3"/>
      <c r="N137" s="7">
        <f t="shared" si="23"/>
        <v>-5.891523310622384E-2</v>
      </c>
      <c r="O137" s="12"/>
      <c r="P137" s="8">
        <v>142141.16</v>
      </c>
      <c r="Q137" s="3"/>
      <c r="R137" s="7">
        <f t="shared" si="24"/>
        <v>2.6467235557755178E-2</v>
      </c>
      <c r="S137" s="3"/>
      <c r="T137" s="8">
        <v>146373.51</v>
      </c>
      <c r="U137" s="3"/>
      <c r="V137" s="7">
        <f t="shared" si="25"/>
        <v>3.5849509059763411E-2</v>
      </c>
      <c r="W137" s="3"/>
      <c r="X137" s="8">
        <f t="shared" si="26"/>
        <v>-4232.3500000000058</v>
      </c>
      <c r="Y137" s="3"/>
      <c r="Z137" s="7">
        <f t="shared" si="27"/>
        <v>-2.8914726441963478E-2</v>
      </c>
    </row>
    <row r="138" spans="1:26" s="69" customFormat="1" ht="15" hidden="1" customHeight="1" outlineLevel="2" x14ac:dyDescent="0.3">
      <c r="A138" s="26"/>
      <c r="B138" s="12" t="str">
        <f>CONCATENATE("          ","6114"," - ","STATE UNEMPLOYMENT INSURANCE")</f>
        <v xml:space="preserve">          6114 - STATE UNEMPLOYMENT INSURANCE</v>
      </c>
      <c r="C138" s="12"/>
      <c r="D138" s="8">
        <v>555.33000000000004</v>
      </c>
      <c r="E138" s="3"/>
      <c r="F138" s="7">
        <f t="shared" si="20"/>
        <v>6.3645816378364291E-4</v>
      </c>
      <c r="G138" s="3"/>
      <c r="H138" s="8">
        <v>314.29000000000002</v>
      </c>
      <c r="I138" s="3"/>
      <c r="J138" s="7">
        <f t="shared" si="21"/>
        <v>1.5484237771164456E-3</v>
      </c>
      <c r="K138" s="3"/>
      <c r="L138" s="8">
        <f t="shared" si="22"/>
        <v>241.04000000000002</v>
      </c>
      <c r="M138" s="3"/>
      <c r="N138" s="7">
        <f t="shared" si="23"/>
        <v>0.76693499634095896</v>
      </c>
      <c r="O138" s="12"/>
      <c r="P138" s="8">
        <v>3745.63</v>
      </c>
      <c r="Q138" s="3"/>
      <c r="R138" s="7">
        <f t="shared" si="24"/>
        <v>6.974508405742188E-4</v>
      </c>
      <c r="S138" s="3"/>
      <c r="T138" s="8">
        <v>3062.7</v>
      </c>
      <c r="U138" s="3"/>
      <c r="V138" s="7">
        <f t="shared" si="25"/>
        <v>7.501103949569658E-4</v>
      </c>
      <c r="W138" s="3"/>
      <c r="X138" s="8">
        <f t="shared" si="26"/>
        <v>682.93000000000029</v>
      </c>
      <c r="Y138" s="3"/>
      <c r="Z138" s="7">
        <f t="shared" si="27"/>
        <v>0.22298298886603335</v>
      </c>
    </row>
    <row r="139" spans="1:26" s="69" customFormat="1" ht="15" hidden="1" customHeight="1" outlineLevel="2" x14ac:dyDescent="0.3">
      <c r="A139" s="26"/>
      <c r="B139" s="12" t="str">
        <f>CONCATENATE("          ","6115"," - ","P.E.R.S.")</f>
        <v xml:space="preserve">          6115 - P.E.R.S.</v>
      </c>
      <c r="C139" s="12"/>
      <c r="D139" s="8">
        <v>7468.83</v>
      </c>
      <c r="E139" s="3"/>
      <c r="F139" s="7">
        <f t="shared" si="20"/>
        <v>8.5599514296223599E-3</v>
      </c>
      <c r="G139" s="3"/>
      <c r="H139" s="8">
        <v>6291.44</v>
      </c>
      <c r="I139" s="3"/>
      <c r="J139" s="7">
        <f t="shared" si="21"/>
        <v>3.0996262331927482E-2</v>
      </c>
      <c r="K139" s="3"/>
      <c r="L139" s="8">
        <f t="shared" si="22"/>
        <v>1177.3900000000003</v>
      </c>
      <c r="M139" s="3"/>
      <c r="N139" s="7">
        <f t="shared" si="23"/>
        <v>0.18714157649123259</v>
      </c>
      <c r="O139" s="12"/>
      <c r="P139" s="8">
        <v>56352.56</v>
      </c>
      <c r="Q139" s="3"/>
      <c r="R139" s="7">
        <f t="shared" si="24"/>
        <v>1.0493065342948742E-2</v>
      </c>
      <c r="S139" s="3"/>
      <c r="T139" s="8">
        <v>61342.2</v>
      </c>
      <c r="U139" s="3"/>
      <c r="V139" s="7">
        <f t="shared" si="25"/>
        <v>1.5023809667786329E-2</v>
      </c>
      <c r="W139" s="3"/>
      <c r="X139" s="8">
        <f t="shared" si="26"/>
        <v>-4989.6399999999994</v>
      </c>
      <c r="Y139" s="3"/>
      <c r="Z139" s="7">
        <f t="shared" si="27"/>
        <v>-8.1341066997923123E-2</v>
      </c>
    </row>
    <row r="140" spans="1:26" s="69" customFormat="1" ht="15" hidden="1" customHeight="1" outlineLevel="2" x14ac:dyDescent="0.3">
      <c r="A140" s="26"/>
      <c r="B140" s="12" t="str">
        <f>CONCATENATE("          ","6116"," - ","EDUCATIONAL BENEFITS")</f>
        <v xml:space="preserve">          6116 - EDUCATIONAL BENEFITS</v>
      </c>
      <c r="C140" s="12"/>
      <c r="D140" s="8"/>
      <c r="E140" s="3"/>
      <c r="F140" s="7">
        <f t="shared" si="20"/>
        <v>0</v>
      </c>
      <c r="G140" s="3"/>
      <c r="H140" s="8"/>
      <c r="I140" s="3"/>
      <c r="J140" s="7">
        <f t="shared" si="21"/>
        <v>0</v>
      </c>
      <c r="K140" s="3"/>
      <c r="L140" s="8">
        <f t="shared" si="22"/>
        <v>0</v>
      </c>
      <c r="M140" s="3"/>
      <c r="N140" s="7">
        <f t="shared" si="23"/>
        <v>0</v>
      </c>
      <c r="O140" s="12"/>
      <c r="P140" s="8"/>
      <c r="Q140" s="3"/>
      <c r="R140" s="7">
        <f t="shared" si="24"/>
        <v>0</v>
      </c>
      <c r="S140" s="3"/>
      <c r="T140" s="8">
        <v>0</v>
      </c>
      <c r="U140" s="3"/>
      <c r="V140" s="7">
        <f t="shared" si="25"/>
        <v>0</v>
      </c>
      <c r="W140" s="3"/>
      <c r="X140" s="8">
        <f t="shared" si="26"/>
        <v>0</v>
      </c>
      <c r="Y140" s="3"/>
      <c r="Z140" s="7">
        <f t="shared" si="27"/>
        <v>0</v>
      </c>
    </row>
    <row r="141" spans="1:26" s="69" customFormat="1" ht="15" hidden="1" customHeight="1" outlineLevel="2" x14ac:dyDescent="0.3">
      <c r="A141" s="26"/>
      <c r="B141" s="12" t="str">
        <f>CONCATENATE("          ","6117"," - ","RETIREMENT STAFF HOURLY")</f>
        <v xml:space="preserve">          6117 - RETIREMENT STAFF HOURLY</v>
      </c>
      <c r="C141" s="12"/>
      <c r="D141" s="8">
        <v>952.3</v>
      </c>
      <c r="E141" s="3"/>
      <c r="F141" s="7">
        <f t="shared" si="20"/>
        <v>1.0914215140027787E-3</v>
      </c>
      <c r="G141" s="3"/>
      <c r="H141" s="8">
        <v>509.38</v>
      </c>
      <c r="I141" s="3"/>
      <c r="J141" s="7">
        <f t="shared" si="21"/>
        <v>2.5095806534970091E-3</v>
      </c>
      <c r="K141" s="3"/>
      <c r="L141" s="8">
        <f t="shared" si="22"/>
        <v>442.91999999999996</v>
      </c>
      <c r="M141" s="3"/>
      <c r="N141" s="7">
        <f t="shared" si="23"/>
        <v>0.86952766107817336</v>
      </c>
      <c r="O141" s="12"/>
      <c r="P141" s="8">
        <v>5827.02</v>
      </c>
      <c r="Q141" s="3"/>
      <c r="R141" s="7">
        <f t="shared" si="24"/>
        <v>1.0850137352175161E-3</v>
      </c>
      <c r="S141" s="3"/>
      <c r="T141" s="8">
        <v>2750.42</v>
      </c>
      <c r="U141" s="3"/>
      <c r="V141" s="7">
        <f t="shared" si="25"/>
        <v>6.7362739820992521E-4</v>
      </c>
      <c r="W141" s="3"/>
      <c r="X141" s="8">
        <f t="shared" si="26"/>
        <v>3076.6000000000004</v>
      </c>
      <c r="Y141" s="3"/>
      <c r="Z141" s="7">
        <f t="shared" si="27"/>
        <v>1.1185927967364986</v>
      </c>
    </row>
    <row r="142" spans="1:26" s="69" customFormat="1" ht="15" hidden="1" customHeight="1" outlineLevel="2" x14ac:dyDescent="0.3">
      <c r="A142" s="26"/>
      <c r="B142" s="12" t="str">
        <f>CONCATENATE("          ","6118"," - ","VACATION")</f>
        <v xml:space="preserve">          6118 - VACATION</v>
      </c>
      <c r="C142" s="12"/>
      <c r="D142" s="8">
        <v>8133.88</v>
      </c>
      <c r="E142" s="3"/>
      <c r="F142" s="7">
        <f t="shared" si="20"/>
        <v>9.3221585890128338E-3</v>
      </c>
      <c r="G142" s="3"/>
      <c r="H142" s="8">
        <v>5425.16</v>
      </c>
      <c r="I142" s="3"/>
      <c r="J142" s="7">
        <f t="shared" si="21"/>
        <v>2.6728329691243932E-2</v>
      </c>
      <c r="K142" s="3"/>
      <c r="L142" s="8">
        <f t="shared" si="22"/>
        <v>2708.7200000000003</v>
      </c>
      <c r="M142" s="3"/>
      <c r="N142" s="7">
        <f t="shared" si="23"/>
        <v>0.49928850024699739</v>
      </c>
      <c r="O142" s="12"/>
      <c r="P142" s="8">
        <v>52874.400000000001</v>
      </c>
      <c r="Q142" s="3"/>
      <c r="R142" s="7">
        <f t="shared" si="24"/>
        <v>9.8454184542673667E-3</v>
      </c>
      <c r="S142" s="3"/>
      <c r="T142" s="8">
        <v>46876.47</v>
      </c>
      <c r="U142" s="3"/>
      <c r="V142" s="7">
        <f t="shared" si="25"/>
        <v>1.1480891835925282E-2</v>
      </c>
      <c r="W142" s="3"/>
      <c r="X142" s="8">
        <f t="shared" si="26"/>
        <v>5997.93</v>
      </c>
      <c r="Y142" s="3"/>
      <c r="Z142" s="7">
        <f t="shared" si="27"/>
        <v>0.12795182743069178</v>
      </c>
    </row>
    <row r="143" spans="1:26" s="69" customFormat="1" ht="15" hidden="1" customHeight="1" outlineLevel="2" x14ac:dyDescent="0.3">
      <c r="A143" s="26"/>
      <c r="B143" s="12" t="str">
        <f>CONCATENATE("          ","6119"," - ","SICK LEAVE")</f>
        <v xml:space="preserve">          6119 - SICK LEAVE</v>
      </c>
      <c r="C143" s="12"/>
      <c r="D143" s="8">
        <v>-23388.1</v>
      </c>
      <c r="E143" s="3"/>
      <c r="F143" s="7">
        <f t="shared" si="20"/>
        <v>-2.6804867700985391E-2</v>
      </c>
      <c r="G143" s="3"/>
      <c r="H143" s="8">
        <v>3824.03</v>
      </c>
      <c r="I143" s="3"/>
      <c r="J143" s="7">
        <f t="shared" si="21"/>
        <v>1.8839985288767066E-2</v>
      </c>
      <c r="K143" s="3"/>
      <c r="L143" s="8">
        <f t="shared" si="22"/>
        <v>-27212.129999999997</v>
      </c>
      <c r="M143" s="3"/>
      <c r="N143" s="7">
        <f t="shared" si="23"/>
        <v>-7.1160869553847634</v>
      </c>
      <c r="O143" s="12"/>
      <c r="P143" s="8">
        <v>16178.6</v>
      </c>
      <c r="Q143" s="3"/>
      <c r="R143" s="7">
        <f t="shared" si="24"/>
        <v>3.0125180995757873E-3</v>
      </c>
      <c r="S143" s="3"/>
      <c r="T143" s="8">
        <v>33591.660000000003</v>
      </c>
      <c r="U143" s="3"/>
      <c r="V143" s="7">
        <f t="shared" si="25"/>
        <v>8.2272025826428032E-3</v>
      </c>
      <c r="W143" s="3"/>
      <c r="X143" s="8">
        <f t="shared" si="26"/>
        <v>-17413.060000000005</v>
      </c>
      <c r="Y143" s="3"/>
      <c r="Z143" s="7">
        <f t="shared" si="27"/>
        <v>-0.51837450128990359</v>
      </c>
    </row>
    <row r="144" spans="1:26" s="69" customFormat="1" ht="15" hidden="1" customHeight="1" outlineLevel="2" x14ac:dyDescent="0.3">
      <c r="A144" s="26"/>
      <c r="B144" s="12" t="str">
        <f>CONCATENATE("          ","6156"," - ","EMPLOYEE MEALS")</f>
        <v xml:space="preserve">          6156 - EMPLOYEE MEALS</v>
      </c>
      <c r="C144" s="12"/>
      <c r="D144" s="8">
        <v>3975.72</v>
      </c>
      <c r="E144" s="3"/>
      <c r="F144" s="7">
        <f t="shared" si="20"/>
        <v>4.5565329640356268E-3</v>
      </c>
      <c r="G144" s="3"/>
      <c r="H144" s="8">
        <v>1208.68</v>
      </c>
      <c r="I144" s="3"/>
      <c r="J144" s="7">
        <f t="shared" si="21"/>
        <v>5.9548469595758864E-3</v>
      </c>
      <c r="K144" s="3"/>
      <c r="L144" s="8">
        <f t="shared" si="22"/>
        <v>2767.04</v>
      </c>
      <c r="M144" s="3"/>
      <c r="N144" s="7">
        <f t="shared" si="23"/>
        <v>2.2893073435483338</v>
      </c>
      <c r="O144" s="12"/>
      <c r="P144" s="8">
        <v>23276.83</v>
      </c>
      <c r="Q144" s="3"/>
      <c r="R144" s="7">
        <f t="shared" si="24"/>
        <v>4.3342360696073008E-3</v>
      </c>
      <c r="S144" s="3"/>
      <c r="T144" s="8">
        <v>11665.92</v>
      </c>
      <c r="U144" s="3"/>
      <c r="V144" s="7">
        <f t="shared" si="25"/>
        <v>2.857193933044819E-3</v>
      </c>
      <c r="W144" s="3"/>
      <c r="X144" s="8">
        <f t="shared" si="26"/>
        <v>11610.910000000002</v>
      </c>
      <c r="Y144" s="3"/>
      <c r="Z144" s="7">
        <f t="shared" si="27"/>
        <v>0.99528455535439997</v>
      </c>
    </row>
    <row r="145" spans="1:26" s="68" customFormat="1" ht="15" customHeight="1" outlineLevel="1" collapsed="1" x14ac:dyDescent="0.3">
      <c r="A145" s="25"/>
      <c r="B145" s="14" t="str">
        <f>CONCATENATE("     ","*Payroll                                          ")</f>
        <v xml:space="preserve">     *Payroll                                          </v>
      </c>
      <c r="C145" s="14"/>
      <c r="D145" s="2">
        <f>SUM(OSRRefD22_1x_0)</f>
        <v>213287.57</v>
      </c>
      <c r="E145" s="2"/>
      <c r="F145" s="6">
        <f t="shared" si="20"/>
        <v>0.24444675266971927</v>
      </c>
      <c r="G145" s="2"/>
      <c r="H145" s="2">
        <f>SUM(OSRRefH22_1x_0)</f>
        <v>111617.56</v>
      </c>
      <c r="I145" s="2"/>
      <c r="J145" s="6">
        <f t="shared" si="21"/>
        <v>0.54991022255789712</v>
      </c>
      <c r="K145" s="2"/>
      <c r="L145" s="2">
        <f t="shared" si="22"/>
        <v>101670.01000000001</v>
      </c>
      <c r="M145" s="2"/>
      <c r="N145" s="6">
        <f t="shared" si="23"/>
        <v>0.91087827040834801</v>
      </c>
      <c r="O145" s="14"/>
      <c r="P145" s="2">
        <f>SUM(OSRRefP22_1x_0)</f>
        <v>1400799.48</v>
      </c>
      <c r="Q145" s="2"/>
      <c r="R145" s="6">
        <f t="shared" si="24"/>
        <v>0.26083429885010762</v>
      </c>
      <c r="S145" s="2"/>
      <c r="T145" s="2">
        <f>SUM(OSRRefT22_1x_0)</f>
        <v>1048615.76</v>
      </c>
      <c r="U145" s="2"/>
      <c r="V145" s="6">
        <f t="shared" si="25"/>
        <v>0.25682488715567925</v>
      </c>
      <c r="W145" s="2"/>
      <c r="X145" s="2">
        <f t="shared" si="26"/>
        <v>352183.72</v>
      </c>
      <c r="Y145" s="2"/>
      <c r="Z145" s="6">
        <f t="shared" si="27"/>
        <v>0.3358558334084164</v>
      </c>
    </row>
    <row r="146" spans="1:26" s="69" customFormat="1" ht="15" hidden="1" customHeight="1" outlineLevel="2" x14ac:dyDescent="0.3">
      <c r="A146" s="26"/>
      <c r="B146" s="12" t="str">
        <f>CONCATENATE("          ","6001"," - ","ADMINISTRATIVE SALARIES")</f>
        <v xml:space="preserve">          6001 - ADMINISTRATIVE SALARIES</v>
      </c>
      <c r="C146" s="12"/>
      <c r="D146" s="8">
        <v>7265.35</v>
      </c>
      <c r="E146" s="3"/>
      <c r="F146" s="7">
        <f t="shared" si="20"/>
        <v>8.326745034926062E-3</v>
      </c>
      <c r="G146" s="3"/>
      <c r="H146" s="8">
        <v>4280.74</v>
      </c>
      <c r="I146" s="3"/>
      <c r="J146" s="7">
        <f t="shared" si="21"/>
        <v>2.1090074770605021E-2</v>
      </c>
      <c r="K146" s="3"/>
      <c r="L146" s="8">
        <f t="shared" si="22"/>
        <v>2984.6100000000006</v>
      </c>
      <c r="M146" s="3"/>
      <c r="N146" s="7">
        <f t="shared" si="23"/>
        <v>0.69721823796820193</v>
      </c>
      <c r="O146" s="12"/>
      <c r="P146" s="8">
        <v>40957.550000000003</v>
      </c>
      <c r="Q146" s="3"/>
      <c r="R146" s="7">
        <f t="shared" si="24"/>
        <v>7.6264547420221949E-3</v>
      </c>
      <c r="S146" s="3"/>
      <c r="T146" s="8">
        <v>34496.589999999997</v>
      </c>
      <c r="U146" s="3"/>
      <c r="V146" s="7">
        <f t="shared" si="25"/>
        <v>8.4488362391251237E-3</v>
      </c>
      <c r="W146" s="3"/>
      <c r="X146" s="8">
        <f t="shared" si="26"/>
        <v>6460.9600000000064</v>
      </c>
      <c r="Y146" s="3"/>
      <c r="Z146" s="7">
        <f t="shared" si="27"/>
        <v>0.1872927150190789</v>
      </c>
    </row>
    <row r="147" spans="1:26" s="69" customFormat="1" ht="15" hidden="1" customHeight="1" outlineLevel="2" x14ac:dyDescent="0.3">
      <c r="A147" s="26"/>
      <c r="B147" s="12" t="str">
        <f>CONCATENATE("          ","6002"," - ","STAFF SALARIES")</f>
        <v xml:space="preserve">          6002 - STAFF SALARIES</v>
      </c>
      <c r="C147" s="12"/>
      <c r="D147" s="8">
        <v>68131.97</v>
      </c>
      <c r="E147" s="3"/>
      <c r="F147" s="7">
        <f t="shared" si="20"/>
        <v>7.8085369998311352E-2</v>
      </c>
      <c r="G147" s="3"/>
      <c r="H147" s="8">
        <v>60271.59</v>
      </c>
      <c r="I147" s="3"/>
      <c r="J147" s="7">
        <f t="shared" si="21"/>
        <v>0.29694219682654166</v>
      </c>
      <c r="K147" s="3"/>
      <c r="L147" s="8">
        <f t="shared" si="22"/>
        <v>7860.3800000000047</v>
      </c>
      <c r="M147" s="3"/>
      <c r="N147" s="7">
        <f t="shared" si="23"/>
        <v>0.130416005285409</v>
      </c>
      <c r="O147" s="12"/>
      <c r="P147" s="8">
        <v>479206.74</v>
      </c>
      <c r="Q147" s="3"/>
      <c r="R147" s="7">
        <f t="shared" si="24"/>
        <v>8.9230154505872475E-2</v>
      </c>
      <c r="S147" s="3"/>
      <c r="T147" s="8">
        <v>514853.46</v>
      </c>
      <c r="U147" s="3"/>
      <c r="V147" s="7">
        <f t="shared" si="25"/>
        <v>0.12609688582804729</v>
      </c>
      <c r="W147" s="3"/>
      <c r="X147" s="8">
        <f t="shared" si="26"/>
        <v>-35646.72000000003</v>
      </c>
      <c r="Y147" s="3"/>
      <c r="Z147" s="7">
        <f t="shared" si="27"/>
        <v>-6.9236632885792446E-2</v>
      </c>
    </row>
    <row r="148" spans="1:26" s="69" customFormat="1" ht="15" hidden="1" customHeight="1" outlineLevel="2" x14ac:dyDescent="0.3">
      <c r="A148" s="26"/>
      <c r="B148" s="12" t="str">
        <f>CONCATENATE("          ","6004"," - ","STAFF HOURLY")</f>
        <v xml:space="preserve">          6004 - STAFF HOURLY</v>
      </c>
      <c r="C148" s="12"/>
      <c r="D148" s="8">
        <v>38128.58</v>
      </c>
      <c r="E148" s="3"/>
      <c r="F148" s="7">
        <f t="shared" si="20"/>
        <v>4.3698784532580144E-2</v>
      </c>
      <c r="G148" s="3"/>
      <c r="H148" s="8">
        <v>15570.79</v>
      </c>
      <c r="I148" s="3"/>
      <c r="J148" s="7">
        <f t="shared" si="21"/>
        <v>7.6713167661990447E-2</v>
      </c>
      <c r="K148" s="3"/>
      <c r="L148" s="8">
        <f t="shared" si="22"/>
        <v>22557.79</v>
      </c>
      <c r="M148" s="3"/>
      <c r="N148" s="7">
        <f t="shared" si="23"/>
        <v>1.448724823852868</v>
      </c>
      <c r="O148" s="12"/>
      <c r="P148" s="8">
        <v>199480.75</v>
      </c>
      <c r="Q148" s="3"/>
      <c r="R148" s="7">
        <f t="shared" si="24"/>
        <v>3.714408971678345E-2</v>
      </c>
      <c r="S148" s="3"/>
      <c r="T148" s="8">
        <v>125592.43</v>
      </c>
      <c r="U148" s="3"/>
      <c r="V148" s="7">
        <f t="shared" si="25"/>
        <v>3.0759848261633551E-2</v>
      </c>
      <c r="W148" s="3"/>
      <c r="X148" s="8">
        <f t="shared" si="26"/>
        <v>73888.320000000007</v>
      </c>
      <c r="Y148" s="3"/>
      <c r="Z148" s="7">
        <f t="shared" si="27"/>
        <v>0.58831826090155281</v>
      </c>
    </row>
    <row r="149" spans="1:26" s="69" customFormat="1" ht="15" hidden="1" customHeight="1" outlineLevel="2" x14ac:dyDescent="0.3">
      <c r="A149" s="26"/>
      <c r="B149" s="12" t="str">
        <f>CONCATENATE("          ","6005"," - ","TEMPORARY WAGES-HOURLY")</f>
        <v xml:space="preserve">          6005 - TEMPORARY WAGES-HOURLY</v>
      </c>
      <c r="C149" s="12"/>
      <c r="D149" s="8">
        <v>11324.56</v>
      </c>
      <c r="E149" s="3"/>
      <c r="F149" s="7">
        <f t="shared" si="20"/>
        <v>1.2978965053675635E-2</v>
      </c>
      <c r="G149" s="3"/>
      <c r="H149" s="8">
        <v>12213.85</v>
      </c>
      <c r="I149" s="3"/>
      <c r="J149" s="7">
        <f t="shared" si="21"/>
        <v>6.017441137208851E-2</v>
      </c>
      <c r="K149" s="3"/>
      <c r="L149" s="8">
        <f t="shared" si="22"/>
        <v>-889.29000000000087</v>
      </c>
      <c r="M149" s="3"/>
      <c r="N149" s="7">
        <f t="shared" si="23"/>
        <v>-7.2809965735619875E-2</v>
      </c>
      <c r="O149" s="12"/>
      <c r="P149" s="8">
        <v>85351.039999999994</v>
      </c>
      <c r="Q149" s="3"/>
      <c r="R149" s="7">
        <f t="shared" si="24"/>
        <v>1.589269484489492E-2</v>
      </c>
      <c r="S149" s="3"/>
      <c r="T149" s="8">
        <v>124540.03</v>
      </c>
      <c r="U149" s="3"/>
      <c r="V149" s="7">
        <f t="shared" si="25"/>
        <v>3.0502096545940632E-2</v>
      </c>
      <c r="W149" s="3"/>
      <c r="X149" s="8">
        <f t="shared" si="26"/>
        <v>-39188.990000000005</v>
      </c>
      <c r="Y149" s="3"/>
      <c r="Z149" s="7">
        <f t="shared" si="27"/>
        <v>-0.31466982945162297</v>
      </c>
    </row>
    <row r="150" spans="1:26" s="69" customFormat="1" ht="15" hidden="1" customHeight="1" outlineLevel="2" x14ac:dyDescent="0.3">
      <c r="A150" s="26"/>
      <c r="B150" s="12" t="str">
        <f>CONCATENATE("          ","6006"," - ","TEMPORARY PART TIME")</f>
        <v xml:space="preserve">          6006 - TEMPORARY PART TIME</v>
      </c>
      <c r="C150" s="12"/>
      <c r="D150" s="8">
        <v>2951.4</v>
      </c>
      <c r="E150" s="3"/>
      <c r="F150" s="7">
        <f t="shared" si="20"/>
        <v>3.3825700477032464E-3</v>
      </c>
      <c r="G150" s="3"/>
      <c r="H150" s="8">
        <v>2042.44</v>
      </c>
      <c r="I150" s="3"/>
      <c r="J150" s="7">
        <f t="shared" si="21"/>
        <v>1.0062562153850626E-2</v>
      </c>
      <c r="K150" s="3"/>
      <c r="L150" s="8">
        <f t="shared" si="22"/>
        <v>908.96</v>
      </c>
      <c r="M150" s="3"/>
      <c r="N150" s="7">
        <f t="shared" si="23"/>
        <v>0.44503632909657076</v>
      </c>
      <c r="O150" s="12"/>
      <c r="P150" s="8">
        <v>14921.37</v>
      </c>
      <c r="Q150" s="3"/>
      <c r="R150" s="7">
        <f t="shared" si="24"/>
        <v>2.7784169950098997E-3</v>
      </c>
      <c r="S150" s="3"/>
      <c r="T150" s="8">
        <v>12030.4</v>
      </c>
      <c r="U150" s="3"/>
      <c r="V150" s="7">
        <f t="shared" si="25"/>
        <v>2.9464616500115199E-3</v>
      </c>
      <c r="W150" s="3"/>
      <c r="X150" s="8">
        <f t="shared" si="26"/>
        <v>2890.9700000000012</v>
      </c>
      <c r="Y150" s="3"/>
      <c r="Z150" s="7">
        <f t="shared" si="27"/>
        <v>0.240305393004389</v>
      </c>
    </row>
    <row r="151" spans="1:26" s="69" customFormat="1" ht="15" hidden="1" customHeight="1" outlineLevel="2" x14ac:dyDescent="0.3">
      <c r="A151" s="26"/>
      <c r="B151" s="12" t="str">
        <f>CONCATENATE("          ","6007"," - ","STUDENT HOURLY")</f>
        <v xml:space="preserve">          6007 - STUDENT HOURLY</v>
      </c>
      <c r="C151" s="12"/>
      <c r="D151" s="8">
        <v>69472.740000000005</v>
      </c>
      <c r="E151" s="3"/>
      <c r="F151" s="7">
        <f t="shared" si="20"/>
        <v>7.9622013097470773E-2</v>
      </c>
      <c r="G151" s="3"/>
      <c r="H151" s="8">
        <v>16114.23</v>
      </c>
      <c r="I151" s="3"/>
      <c r="J151" s="7">
        <f t="shared" si="21"/>
        <v>7.9390552934942696E-2</v>
      </c>
      <c r="K151" s="3"/>
      <c r="L151" s="8">
        <f t="shared" si="22"/>
        <v>53358.510000000009</v>
      </c>
      <c r="M151" s="3"/>
      <c r="N151" s="7">
        <f t="shared" si="23"/>
        <v>3.3112665017192886</v>
      </c>
      <c r="O151" s="12"/>
      <c r="P151" s="8">
        <v>501917.78</v>
      </c>
      <c r="Q151" s="3"/>
      <c r="R151" s="7">
        <f t="shared" si="24"/>
        <v>9.3459038281983486E-2</v>
      </c>
      <c r="S151" s="3"/>
      <c r="T151" s="8">
        <v>229803.6</v>
      </c>
      <c r="U151" s="3"/>
      <c r="V151" s="7">
        <f t="shared" si="25"/>
        <v>5.6283040832772586E-2</v>
      </c>
      <c r="W151" s="3"/>
      <c r="X151" s="8">
        <f t="shared" si="26"/>
        <v>272114.18000000005</v>
      </c>
      <c r="Y151" s="3"/>
      <c r="Z151" s="7">
        <f t="shared" si="27"/>
        <v>1.1841162627565454</v>
      </c>
    </row>
    <row r="152" spans="1:26" s="69" customFormat="1" ht="15" hidden="1" customHeight="1" outlineLevel="2" x14ac:dyDescent="0.3">
      <c r="A152" s="26"/>
      <c r="B152" s="12" t="str">
        <f>CONCATENATE("          ","6008"," - ","STUDENT HOURLY-FICA EXEMPT")</f>
        <v xml:space="preserve">          6008 - STUDENT HOURLY-FICA EXEMPT</v>
      </c>
      <c r="C152" s="12"/>
      <c r="D152" s="8">
        <v>16012.97</v>
      </c>
      <c r="E152" s="3"/>
      <c r="F152" s="7">
        <f t="shared" si="20"/>
        <v>1.8352304905052057E-2</v>
      </c>
      <c r="G152" s="3"/>
      <c r="H152" s="8">
        <v>1123.92</v>
      </c>
      <c r="I152" s="3"/>
      <c r="J152" s="7">
        <f t="shared" si="21"/>
        <v>5.5372568378781236E-3</v>
      </c>
      <c r="K152" s="3"/>
      <c r="L152" s="8">
        <f t="shared" si="22"/>
        <v>14889.05</v>
      </c>
      <c r="M152" s="3"/>
      <c r="N152" s="7">
        <f t="shared" si="23"/>
        <v>13.247428642608014</v>
      </c>
      <c r="O152" s="12"/>
      <c r="P152" s="8">
        <v>78964.25</v>
      </c>
      <c r="Q152" s="3"/>
      <c r="R152" s="7">
        <f t="shared" si="24"/>
        <v>1.470344976354118E-2</v>
      </c>
      <c r="S152" s="3"/>
      <c r="T152" s="8">
        <v>7299.25</v>
      </c>
      <c r="U152" s="3"/>
      <c r="V152" s="7">
        <f t="shared" si="25"/>
        <v>1.7877177981485725E-3</v>
      </c>
      <c r="W152" s="3"/>
      <c r="X152" s="8">
        <f t="shared" si="26"/>
        <v>71665</v>
      </c>
      <c r="Y152" s="3"/>
      <c r="Z152" s="7">
        <f t="shared" si="27"/>
        <v>9.8181319998629988</v>
      </c>
    </row>
    <row r="153" spans="1:26" s="68" customFormat="1" ht="15" customHeight="1" outlineLevel="1" collapsed="1" x14ac:dyDescent="0.3">
      <c r="A153" s="25"/>
      <c r="B153" s="14" t="str">
        <f>CONCATENATE("     ","Advertising/Promo                                 ")</f>
        <v xml:space="preserve">     Advertising/Promo                                 </v>
      </c>
      <c r="C153" s="14"/>
      <c r="D153" s="2">
        <f>SUM(OSRRefD22_2x_0)</f>
        <v>891.78</v>
      </c>
      <c r="E153" s="2"/>
      <c r="F153" s="6">
        <f t="shared" si="20"/>
        <v>1.0220601467577424E-3</v>
      </c>
      <c r="G153" s="2"/>
      <c r="H153" s="2">
        <f>SUM(OSRRefH22_2x_0)</f>
        <v>114.65</v>
      </c>
      <c r="I153" s="2"/>
      <c r="J153" s="6">
        <f t="shared" si="21"/>
        <v>5.6485025309873196E-4</v>
      </c>
      <c r="K153" s="2"/>
      <c r="L153" s="2">
        <f t="shared" si="22"/>
        <v>777.13</v>
      </c>
      <c r="M153" s="2"/>
      <c r="N153" s="6">
        <f t="shared" si="23"/>
        <v>6.7782817269952025</v>
      </c>
      <c r="O153" s="14"/>
      <c r="P153" s="2">
        <f>SUM(OSRRefP22_2x_0)</f>
        <v>7260.23</v>
      </c>
      <c r="Q153" s="2"/>
      <c r="R153" s="6">
        <f t="shared" si="24"/>
        <v>1.3518829986576785E-3</v>
      </c>
      <c r="S153" s="2"/>
      <c r="T153" s="2">
        <f>SUM(OSRRefT22_2x_0)</f>
        <v>16148.79</v>
      </c>
      <c r="U153" s="2"/>
      <c r="V153" s="6">
        <f t="shared" si="25"/>
        <v>3.9551295409204629E-3</v>
      </c>
      <c r="W153" s="2"/>
      <c r="X153" s="2">
        <f t="shared" si="26"/>
        <v>-8888.5600000000013</v>
      </c>
      <c r="Y153" s="2"/>
      <c r="Z153" s="6">
        <f t="shared" si="27"/>
        <v>-0.55041647083156076</v>
      </c>
    </row>
    <row r="154" spans="1:26" s="69" customFormat="1" ht="15" hidden="1" customHeight="1" outlineLevel="2" x14ac:dyDescent="0.3">
      <c r="A154" s="26"/>
      <c r="B154" s="12" t="str">
        <f>CONCATENATE("          ","6362"," - ","ADVERTISING EXPENSE")</f>
        <v xml:space="preserve">          6362 - ADVERTISING EXPENSE</v>
      </c>
      <c r="C154" s="12"/>
      <c r="D154" s="8">
        <v>891.78</v>
      </c>
      <c r="E154" s="3"/>
      <c r="F154" s="7">
        <f t="shared" si="20"/>
        <v>1.0220601467577424E-3</v>
      </c>
      <c r="G154" s="3"/>
      <c r="H154" s="8">
        <v>114.65</v>
      </c>
      <c r="I154" s="3"/>
      <c r="J154" s="7">
        <f t="shared" si="21"/>
        <v>5.6485025309873196E-4</v>
      </c>
      <c r="K154" s="3"/>
      <c r="L154" s="8">
        <f t="shared" si="22"/>
        <v>777.13</v>
      </c>
      <c r="M154" s="3"/>
      <c r="N154" s="7">
        <f t="shared" si="23"/>
        <v>6.7782817269952025</v>
      </c>
      <c r="O154" s="12"/>
      <c r="P154" s="8">
        <v>7260.23</v>
      </c>
      <c r="Q154" s="3"/>
      <c r="R154" s="7">
        <f t="shared" si="24"/>
        <v>1.3518829986576785E-3</v>
      </c>
      <c r="S154" s="3"/>
      <c r="T154" s="8">
        <v>16148.79</v>
      </c>
      <c r="U154" s="3"/>
      <c r="V154" s="7">
        <f t="shared" si="25"/>
        <v>3.9551295409204629E-3</v>
      </c>
      <c r="W154" s="3"/>
      <c r="X154" s="8">
        <f t="shared" si="26"/>
        <v>-8888.5600000000013</v>
      </c>
      <c r="Y154" s="3"/>
      <c r="Z154" s="7">
        <f t="shared" si="27"/>
        <v>-0.55041647083156076</v>
      </c>
    </row>
    <row r="155" spans="1:26" s="68" customFormat="1" ht="15" customHeight="1" outlineLevel="1" collapsed="1" x14ac:dyDescent="0.3">
      <c r="A155" s="25"/>
      <c r="B155" s="14" t="str">
        <f>CONCATENATE("     ","Bad Debts/Over/Short                              ")</f>
        <v xml:space="preserve">     Bad Debts/Over/Short                              </v>
      </c>
      <c r="C155" s="14"/>
      <c r="D155" s="2">
        <f>SUM(OSRRefD22_3x_0)</f>
        <v>-51.31</v>
      </c>
      <c r="E155" s="2"/>
      <c r="F155" s="6">
        <f t="shared" si="20"/>
        <v>-5.8805878277310285E-5</v>
      </c>
      <c r="G155" s="2"/>
      <c r="H155" s="2">
        <f>SUM(OSRRefH22_3x_0)</f>
        <v>3282.4</v>
      </c>
      <c r="I155" s="2"/>
      <c r="J155" s="6">
        <f t="shared" si="21"/>
        <v>1.6171517407512236E-2</v>
      </c>
      <c r="K155" s="2"/>
      <c r="L155" s="2">
        <f t="shared" si="22"/>
        <v>-3333.71</v>
      </c>
      <c r="M155" s="2"/>
      <c r="N155" s="6">
        <f t="shared" si="23"/>
        <v>-1.0156318547404337</v>
      </c>
      <c r="O155" s="14"/>
      <c r="P155" s="2">
        <f>SUM(OSRRefP22_3x_0)</f>
        <v>108.79</v>
      </c>
      <c r="Q155" s="2"/>
      <c r="R155" s="6">
        <f t="shared" si="24"/>
        <v>2.0257120149632843E-5</v>
      </c>
      <c r="S155" s="2"/>
      <c r="T155" s="2">
        <f>SUM(OSRRefT22_3x_0)</f>
        <v>5203.7700000000004</v>
      </c>
      <c r="U155" s="2"/>
      <c r="V155" s="6">
        <f t="shared" si="25"/>
        <v>1.2744970026333661E-3</v>
      </c>
      <c r="W155" s="2"/>
      <c r="X155" s="2">
        <f t="shared" si="26"/>
        <v>-5094.9800000000005</v>
      </c>
      <c r="Y155" s="2"/>
      <c r="Z155" s="6">
        <f t="shared" si="27"/>
        <v>-0.97909400300166993</v>
      </c>
    </row>
    <row r="156" spans="1:26" s="69" customFormat="1" ht="15" hidden="1" customHeight="1" outlineLevel="2" x14ac:dyDescent="0.3">
      <c r="A156" s="26"/>
      <c r="B156" s="12" t="str">
        <f>CONCATENATE("          ","6272"," - ","CASH (OVER/SHORT)")</f>
        <v xml:space="preserve">          6272 - CASH (OVER/SHORT)</v>
      </c>
      <c r="C156" s="12"/>
      <c r="D156" s="8">
        <v>-51.31</v>
      </c>
      <c r="E156" s="3"/>
      <c r="F156" s="7">
        <f t="shared" si="20"/>
        <v>-5.8805878277310285E-5</v>
      </c>
      <c r="G156" s="3"/>
      <c r="H156" s="8">
        <v>-70.239999999999995</v>
      </c>
      <c r="I156" s="3"/>
      <c r="J156" s="7">
        <f t="shared" si="21"/>
        <v>-3.4605391868866055E-4</v>
      </c>
      <c r="K156" s="3"/>
      <c r="L156" s="8">
        <f t="shared" si="22"/>
        <v>18.929999999999993</v>
      </c>
      <c r="M156" s="3"/>
      <c r="N156" s="7">
        <f t="shared" si="23"/>
        <v>-0.26950455580865595</v>
      </c>
      <c r="O156" s="12"/>
      <c r="P156" s="8">
        <v>108.79</v>
      </c>
      <c r="Q156" s="3"/>
      <c r="R156" s="7">
        <f t="shared" si="24"/>
        <v>2.0257120149632843E-5</v>
      </c>
      <c r="S156" s="3"/>
      <c r="T156" s="8">
        <v>-145.65</v>
      </c>
      <c r="U156" s="3"/>
      <c r="V156" s="7">
        <f t="shared" si="25"/>
        <v>-3.5672308428994706E-5</v>
      </c>
      <c r="W156" s="3"/>
      <c r="X156" s="8">
        <f t="shared" si="26"/>
        <v>254.44</v>
      </c>
      <c r="Y156" s="3"/>
      <c r="Z156" s="7">
        <f t="shared" si="27"/>
        <v>-1.7469275660830759</v>
      </c>
    </row>
    <row r="157" spans="1:26" s="69" customFormat="1" ht="15" hidden="1" customHeight="1" outlineLevel="2" x14ac:dyDescent="0.3">
      <c r="A157" s="26"/>
      <c r="B157" s="12" t="str">
        <f>CONCATENATE("          ","6342"," - ","BAD DEBT")</f>
        <v xml:space="preserve">          6342 - BAD DEBT</v>
      </c>
      <c r="C157" s="12"/>
      <c r="D157" s="8"/>
      <c r="E157" s="3"/>
      <c r="F157" s="7">
        <f t="shared" si="20"/>
        <v>0</v>
      </c>
      <c r="G157" s="3"/>
      <c r="H157" s="8">
        <v>3352.64</v>
      </c>
      <c r="I157" s="3"/>
      <c r="J157" s="7">
        <f t="shared" si="21"/>
        <v>1.6517571326200894E-2</v>
      </c>
      <c r="K157" s="3"/>
      <c r="L157" s="8">
        <f t="shared" si="22"/>
        <v>-3352.64</v>
      </c>
      <c r="M157" s="3"/>
      <c r="N157" s="7">
        <f t="shared" si="23"/>
        <v>-1</v>
      </c>
      <c r="O157" s="12"/>
      <c r="P157" s="8"/>
      <c r="Q157" s="3"/>
      <c r="R157" s="7">
        <f t="shared" si="24"/>
        <v>0</v>
      </c>
      <c r="S157" s="3"/>
      <c r="T157" s="8">
        <v>5349.42</v>
      </c>
      <c r="U157" s="3"/>
      <c r="V157" s="7">
        <f t="shared" si="25"/>
        <v>1.3101693110623607E-3</v>
      </c>
      <c r="W157" s="3"/>
      <c r="X157" s="8">
        <f t="shared" si="26"/>
        <v>-5349.42</v>
      </c>
      <c r="Y157" s="3"/>
      <c r="Z157" s="7">
        <f t="shared" si="27"/>
        <v>-1</v>
      </c>
    </row>
    <row r="158" spans="1:26" s="68" customFormat="1" ht="15" customHeight="1" outlineLevel="1" collapsed="1" x14ac:dyDescent="0.3">
      <c r="A158" s="25"/>
      <c r="B158" s="14" t="str">
        <f>CONCATENATE("     ","Bank/card Fees                                    ")</f>
        <v xml:space="preserve">     Bank/card Fees                                    </v>
      </c>
      <c r="C158" s="14"/>
      <c r="D158" s="2">
        <f>SUM(OSRRefD22_4x_0)</f>
        <v>19602.71</v>
      </c>
      <c r="E158" s="2"/>
      <c r="F158" s="6">
        <f t="shared" si="20"/>
        <v>2.2466470048049365E-2</v>
      </c>
      <c r="G158" s="2"/>
      <c r="H158" s="2">
        <f>SUM(OSRRefH22_4x_0)</f>
        <v>3981.37</v>
      </c>
      <c r="I158" s="2"/>
      <c r="J158" s="6">
        <f t="shared" si="21"/>
        <v>1.9615157890795452E-2</v>
      </c>
      <c r="K158" s="2"/>
      <c r="L158" s="2">
        <f t="shared" si="22"/>
        <v>15621.34</v>
      </c>
      <c r="M158" s="2"/>
      <c r="N158" s="6">
        <f t="shared" si="23"/>
        <v>3.9236092098950865</v>
      </c>
      <c r="O158" s="14"/>
      <c r="P158" s="2">
        <f>SUM(OSRRefP22_4x_0)</f>
        <v>103365.12</v>
      </c>
      <c r="Q158" s="2"/>
      <c r="R158" s="6">
        <f t="shared" si="24"/>
        <v>1.9246986442882769E-2</v>
      </c>
      <c r="S158" s="2"/>
      <c r="T158" s="2">
        <f>SUM(OSRRefT22_4x_0)</f>
        <v>66864.31</v>
      </c>
      <c r="U158" s="2"/>
      <c r="V158" s="6">
        <f t="shared" si="25"/>
        <v>1.6376273870318672E-2</v>
      </c>
      <c r="W158" s="2"/>
      <c r="X158" s="2">
        <f t="shared" si="26"/>
        <v>36500.81</v>
      </c>
      <c r="Y158" s="2"/>
      <c r="Z158" s="6">
        <f t="shared" si="27"/>
        <v>0.5458937660464902</v>
      </c>
    </row>
    <row r="159" spans="1:26" s="69" customFormat="1" ht="15" hidden="1" customHeight="1" outlineLevel="2" x14ac:dyDescent="0.3">
      <c r="A159" s="26"/>
      <c r="B159" s="12" t="str">
        <f>CONCATENATE("          ","6381"," - ","BANK/CREDIT CARD FEES")</f>
        <v xml:space="preserve">          6381 - BANK/CREDIT CARD FEES</v>
      </c>
      <c r="C159" s="12"/>
      <c r="D159" s="8">
        <v>19602.71</v>
      </c>
      <c r="E159" s="3"/>
      <c r="F159" s="7">
        <f t="shared" si="20"/>
        <v>2.2466470048049365E-2</v>
      </c>
      <c r="G159" s="3"/>
      <c r="H159" s="8">
        <v>3981.37</v>
      </c>
      <c r="I159" s="3"/>
      <c r="J159" s="7">
        <f t="shared" si="21"/>
        <v>1.9615157890795452E-2</v>
      </c>
      <c r="K159" s="3"/>
      <c r="L159" s="8">
        <f t="shared" si="22"/>
        <v>15621.34</v>
      </c>
      <c r="M159" s="3"/>
      <c r="N159" s="7">
        <f t="shared" si="23"/>
        <v>3.9236092098950865</v>
      </c>
      <c r="O159" s="12"/>
      <c r="P159" s="8">
        <v>103365.12</v>
      </c>
      <c r="Q159" s="3"/>
      <c r="R159" s="7">
        <f t="shared" si="24"/>
        <v>1.9246986442882769E-2</v>
      </c>
      <c r="S159" s="3"/>
      <c r="T159" s="8">
        <v>66864.31</v>
      </c>
      <c r="U159" s="3"/>
      <c r="V159" s="7">
        <f t="shared" si="25"/>
        <v>1.6376273870318672E-2</v>
      </c>
      <c r="W159" s="3"/>
      <c r="X159" s="8">
        <f t="shared" si="26"/>
        <v>36500.81</v>
      </c>
      <c r="Y159" s="3"/>
      <c r="Z159" s="7">
        <f t="shared" si="27"/>
        <v>0.5458937660464902</v>
      </c>
    </row>
    <row r="160" spans="1:26" s="68" customFormat="1" ht="15" customHeight="1" outlineLevel="1" collapsed="1" x14ac:dyDescent="0.3">
      <c r="A160" s="25"/>
      <c r="B160" s="14" t="str">
        <f>CONCATENATE("     ","Depreciation                                      ")</f>
        <v xml:space="preserve">     Depreciation                                      </v>
      </c>
      <c r="C160" s="14"/>
      <c r="D160" s="2">
        <f>SUM(OSRRefD22_5x_0)</f>
        <v>33864.79</v>
      </c>
      <c r="E160" s="2"/>
      <c r="F160" s="6">
        <f t="shared" si="20"/>
        <v>3.8812097420126181E-2</v>
      </c>
      <c r="G160" s="2"/>
      <c r="H160" s="2">
        <f>SUM(OSRRefH22_5x_0)</f>
        <v>39887.94</v>
      </c>
      <c r="I160" s="2"/>
      <c r="J160" s="6">
        <f t="shared" si="21"/>
        <v>0.19651733976962091</v>
      </c>
      <c r="K160" s="2"/>
      <c r="L160" s="2">
        <f t="shared" si="22"/>
        <v>-6023.1500000000015</v>
      </c>
      <c r="M160" s="2"/>
      <c r="N160" s="6">
        <f t="shared" si="23"/>
        <v>-0.15100178149084664</v>
      </c>
      <c r="O160" s="14"/>
      <c r="P160" s="2">
        <f>SUM(OSRRefP22_5x_0)</f>
        <v>292926.92</v>
      </c>
      <c r="Q160" s="2"/>
      <c r="R160" s="6">
        <f t="shared" si="24"/>
        <v>5.4544129180089045E-2</v>
      </c>
      <c r="S160" s="2"/>
      <c r="T160" s="2">
        <f>SUM(OSRRefT22_5x_0)</f>
        <v>319580.28999999998</v>
      </c>
      <c r="U160" s="2"/>
      <c r="V160" s="6">
        <f t="shared" si="25"/>
        <v>7.8270969259921525E-2</v>
      </c>
      <c r="W160" s="2"/>
      <c r="X160" s="2">
        <f t="shared" si="26"/>
        <v>-26653.369999999995</v>
      </c>
      <c r="Y160" s="2"/>
      <c r="Z160" s="6">
        <f t="shared" si="27"/>
        <v>-8.3401169702925035E-2</v>
      </c>
    </row>
    <row r="161" spans="1:26" s="69" customFormat="1" ht="15" hidden="1" customHeight="1" outlineLevel="2" x14ac:dyDescent="0.3">
      <c r="A161" s="26"/>
      <c r="B161" s="12" t="str">
        <f>CONCATENATE("          ","6321"," - ","BUILDING DEPRECIATION")</f>
        <v xml:space="preserve">          6321 - BUILDING DEPRECIATION</v>
      </c>
      <c r="C161" s="12"/>
      <c r="D161" s="8">
        <v>18402.22</v>
      </c>
      <c r="E161" s="3"/>
      <c r="F161" s="7">
        <f t="shared" si="20"/>
        <v>2.1090600455121514E-2</v>
      </c>
      <c r="G161" s="3"/>
      <c r="H161" s="8">
        <v>21477.03</v>
      </c>
      <c r="I161" s="3"/>
      <c r="J161" s="7">
        <f t="shared" si="21"/>
        <v>0.10581165138516406</v>
      </c>
      <c r="K161" s="3"/>
      <c r="L161" s="8">
        <f t="shared" si="22"/>
        <v>-3074.8099999999977</v>
      </c>
      <c r="M161" s="3"/>
      <c r="N161" s="7">
        <f t="shared" si="23"/>
        <v>-0.14316737463233967</v>
      </c>
      <c r="O161" s="12"/>
      <c r="P161" s="8">
        <v>166476.5</v>
      </c>
      <c r="Q161" s="3"/>
      <c r="R161" s="7">
        <f t="shared" si="24"/>
        <v>3.0998570296813601E-2</v>
      </c>
      <c r="S161" s="3"/>
      <c r="T161" s="8">
        <v>171816.24</v>
      </c>
      <c r="U161" s="3"/>
      <c r="V161" s="7">
        <f t="shared" si="25"/>
        <v>4.2080891907931177E-2</v>
      </c>
      <c r="W161" s="3"/>
      <c r="X161" s="8">
        <f t="shared" si="26"/>
        <v>-5339.7399999999907</v>
      </c>
      <c r="Y161" s="3"/>
      <c r="Z161" s="7">
        <f t="shared" si="27"/>
        <v>-3.1078203084877139E-2</v>
      </c>
    </row>
    <row r="162" spans="1:26" s="69" customFormat="1" ht="15" hidden="1" customHeight="1" outlineLevel="2" x14ac:dyDescent="0.3">
      <c r="A162" s="26"/>
      <c r="B162" s="12" t="str">
        <f>CONCATENATE("          ","6322"," - ","EQUIPMENT DEPRECIATION EXPENSE")</f>
        <v xml:space="preserve">          6322 - EQUIPMENT DEPRECIATION EXPENSE</v>
      </c>
      <c r="C162" s="12"/>
      <c r="D162" s="8">
        <v>15462.57</v>
      </c>
      <c r="E162" s="3"/>
      <c r="F162" s="7">
        <f t="shared" si="20"/>
        <v>1.772149696500467E-2</v>
      </c>
      <c r="G162" s="3"/>
      <c r="H162" s="8">
        <v>18410.91</v>
      </c>
      <c r="I162" s="3"/>
      <c r="J162" s="7">
        <f t="shared" si="21"/>
        <v>9.0705688384456834E-2</v>
      </c>
      <c r="K162" s="3"/>
      <c r="L162" s="8">
        <f t="shared" si="22"/>
        <v>-2948.34</v>
      </c>
      <c r="M162" s="3"/>
      <c r="N162" s="7">
        <f t="shared" si="23"/>
        <v>-0.16014091644573789</v>
      </c>
      <c r="O162" s="12"/>
      <c r="P162" s="8">
        <v>126450.42</v>
      </c>
      <c r="Q162" s="3"/>
      <c r="R162" s="7">
        <f t="shared" si="24"/>
        <v>2.3545558883275444E-2</v>
      </c>
      <c r="S162" s="3"/>
      <c r="T162" s="8">
        <v>147764.04999999999</v>
      </c>
      <c r="U162" s="3"/>
      <c r="V162" s="7">
        <f t="shared" si="25"/>
        <v>3.6190077351990348E-2</v>
      </c>
      <c r="W162" s="3"/>
      <c r="X162" s="8">
        <f t="shared" si="26"/>
        <v>-21313.62999999999</v>
      </c>
      <c r="Y162" s="3"/>
      <c r="Z162" s="7">
        <f t="shared" si="27"/>
        <v>-0.14424097065558228</v>
      </c>
    </row>
    <row r="163" spans="1:26" s="68" customFormat="1" ht="15" customHeight="1" outlineLevel="1" collapsed="1" x14ac:dyDescent="0.3">
      <c r="A163" s="25"/>
      <c r="B163" s="14" t="str">
        <f>CONCATENATE("     ","Discounts and Markdowns                           ")</f>
        <v xml:space="preserve">     Discounts and Markdowns                           </v>
      </c>
      <c r="C163" s="14"/>
      <c r="D163" s="2">
        <f>SUM(OSRRefD22_6x_0)</f>
        <v>0</v>
      </c>
      <c r="E163" s="2"/>
      <c r="F163" s="6">
        <f t="shared" si="20"/>
        <v>0</v>
      </c>
      <c r="G163" s="2"/>
      <c r="H163" s="2">
        <f>SUM(OSRRefH22_6x_0)</f>
        <v>42.86</v>
      </c>
      <c r="I163" s="2"/>
      <c r="J163" s="6">
        <f t="shared" si="21"/>
        <v>2.1115989400620716E-4</v>
      </c>
      <c r="K163" s="2"/>
      <c r="L163" s="2">
        <f t="shared" si="22"/>
        <v>-42.86</v>
      </c>
      <c r="M163" s="2"/>
      <c r="N163" s="6">
        <f t="shared" si="23"/>
        <v>-1</v>
      </c>
      <c r="O163" s="14"/>
      <c r="P163" s="2">
        <f>SUM(OSRRefP22_6x_0)</f>
        <v>2064.5499999999997</v>
      </c>
      <c r="Q163" s="2"/>
      <c r="R163" s="6">
        <f t="shared" si="24"/>
        <v>3.8442722129721922E-4</v>
      </c>
      <c r="S163" s="2"/>
      <c r="T163" s="2">
        <f>SUM(OSRRefT22_6x_0)</f>
        <v>0</v>
      </c>
      <c r="U163" s="2"/>
      <c r="V163" s="6">
        <f t="shared" si="25"/>
        <v>0</v>
      </c>
      <c r="W163" s="2"/>
      <c r="X163" s="2">
        <f t="shared" si="26"/>
        <v>2064.5499999999997</v>
      </c>
      <c r="Y163" s="2"/>
      <c r="Z163" s="6">
        <f t="shared" si="27"/>
        <v>0</v>
      </c>
    </row>
    <row r="164" spans="1:26" s="69" customFormat="1" ht="15" hidden="1" customHeight="1" outlineLevel="2" x14ac:dyDescent="0.3">
      <c r="A164" s="26"/>
      <c r="B164" s="12" t="str">
        <f>CONCATENATE("          ","6382"," - ","DISCOUNTS/MARK DOWNS")</f>
        <v xml:space="preserve">          6382 - DISCOUNTS/MARK DOWNS</v>
      </c>
      <c r="C164" s="12"/>
      <c r="D164" s="8"/>
      <c r="E164" s="3"/>
      <c r="F164" s="7">
        <f t="shared" si="20"/>
        <v>0</v>
      </c>
      <c r="G164" s="3"/>
      <c r="H164" s="8">
        <v>0</v>
      </c>
      <c r="I164" s="3"/>
      <c r="J164" s="7">
        <f t="shared" si="21"/>
        <v>0</v>
      </c>
      <c r="K164" s="3"/>
      <c r="L164" s="8">
        <f t="shared" si="22"/>
        <v>0</v>
      </c>
      <c r="M164" s="3"/>
      <c r="N164" s="7">
        <f t="shared" si="23"/>
        <v>0</v>
      </c>
      <c r="O164" s="12"/>
      <c r="P164" s="8">
        <v>2171.35</v>
      </c>
      <c r="Q164" s="3"/>
      <c r="R164" s="7">
        <f t="shared" si="24"/>
        <v>4.0431379572483932E-4</v>
      </c>
      <c r="S164" s="3"/>
      <c r="T164" s="8">
        <v>0</v>
      </c>
      <c r="U164" s="3"/>
      <c r="V164" s="7">
        <f t="shared" si="25"/>
        <v>0</v>
      </c>
      <c r="W164" s="3"/>
      <c r="X164" s="8">
        <f t="shared" si="26"/>
        <v>2171.35</v>
      </c>
      <c r="Y164" s="3"/>
      <c r="Z164" s="7">
        <f t="shared" si="27"/>
        <v>0</v>
      </c>
    </row>
    <row r="165" spans="1:26" s="69" customFormat="1" ht="15" hidden="1" customHeight="1" outlineLevel="2" x14ac:dyDescent="0.3">
      <c r="A165" s="26"/>
      <c r="B165" s="12" t="str">
        <f>CONCATENATE("          ","9175"," - ","EARNED DISCOUNTS")</f>
        <v xml:space="preserve">          9175 - EARNED DISCOUNTS</v>
      </c>
      <c r="C165" s="12"/>
      <c r="D165" s="8">
        <v>0</v>
      </c>
      <c r="E165" s="3"/>
      <c r="F165" s="7">
        <f t="shared" ref="F165:F196" si="28">IF(D$12=0,0,D165/D$12)</f>
        <v>0</v>
      </c>
      <c r="G165" s="3"/>
      <c r="H165" s="8">
        <v>42.86</v>
      </c>
      <c r="I165" s="3"/>
      <c r="J165" s="7">
        <f t="shared" ref="J165:J196" si="29">IF(H$12=0,0,H165/H$12)</f>
        <v>2.1115989400620716E-4</v>
      </c>
      <c r="K165" s="3"/>
      <c r="L165" s="8">
        <f t="shared" ref="L165:L196" si="30">+D165-H165</f>
        <v>-42.86</v>
      </c>
      <c r="M165" s="3"/>
      <c r="N165" s="7">
        <f t="shared" ref="N165:N196" si="31">IF(H165=0,0,L165/H165)</f>
        <v>-1</v>
      </c>
      <c r="O165" s="12"/>
      <c r="P165" s="8">
        <v>-106.8</v>
      </c>
      <c r="Q165" s="3"/>
      <c r="R165" s="7">
        <f t="shared" ref="R165:R196" si="32">IF(P$12=0,0,P165/P$12)</f>
        <v>-1.988657442762007E-5</v>
      </c>
      <c r="S165" s="3"/>
      <c r="T165" s="8">
        <v>0</v>
      </c>
      <c r="U165" s="3"/>
      <c r="V165" s="7">
        <f t="shared" ref="V165:V196" si="33">IF(T$12=0,0,T165/T$12)</f>
        <v>0</v>
      </c>
      <c r="W165" s="3"/>
      <c r="X165" s="8">
        <f t="shared" ref="X165:X196" si="34">+P165-T165</f>
        <v>-106.8</v>
      </c>
      <c r="Y165" s="3"/>
      <c r="Z165" s="7">
        <f t="shared" ref="Z165:Z196" si="35">IF(T165=0,0,X165/T165)</f>
        <v>0</v>
      </c>
    </row>
    <row r="166" spans="1:26" s="68" customFormat="1" ht="15" customHeight="1" outlineLevel="1" collapsed="1" x14ac:dyDescent="0.3">
      <c r="A166" s="25"/>
      <c r="B166" s="14" t="str">
        <f>CONCATENATE("     ","Donations                                         ")</f>
        <v xml:space="preserve">     Donations                                         </v>
      </c>
      <c r="C166" s="14"/>
      <c r="D166" s="2">
        <f>SUM(OSRRefD22_7x_0)</f>
        <v>2998.05</v>
      </c>
      <c r="E166" s="2"/>
      <c r="F166" s="6">
        <f t="shared" si="28"/>
        <v>3.436035146546289E-3</v>
      </c>
      <c r="G166" s="2"/>
      <c r="H166" s="2">
        <f>SUM(OSRRefH22_7x_0)</f>
        <v>0</v>
      </c>
      <c r="I166" s="2"/>
      <c r="J166" s="6">
        <f t="shared" si="29"/>
        <v>0</v>
      </c>
      <c r="K166" s="2"/>
      <c r="L166" s="2">
        <f t="shared" si="30"/>
        <v>2998.05</v>
      </c>
      <c r="M166" s="2"/>
      <c r="N166" s="6">
        <f t="shared" si="31"/>
        <v>0</v>
      </c>
      <c r="O166" s="14"/>
      <c r="P166" s="2">
        <f>SUM(OSRRefP22_7x_0)</f>
        <v>5818.27</v>
      </c>
      <c r="Q166" s="2"/>
      <c r="R166" s="6">
        <f t="shared" si="32"/>
        <v>1.0833844512639422E-3</v>
      </c>
      <c r="S166" s="2"/>
      <c r="T166" s="2">
        <f>SUM(OSRRefT22_7x_0)</f>
        <v>0</v>
      </c>
      <c r="U166" s="2"/>
      <c r="V166" s="6">
        <f t="shared" si="33"/>
        <v>0</v>
      </c>
      <c r="W166" s="2"/>
      <c r="X166" s="2">
        <f t="shared" si="34"/>
        <v>5818.27</v>
      </c>
      <c r="Y166" s="2"/>
      <c r="Z166" s="6">
        <f t="shared" si="35"/>
        <v>0</v>
      </c>
    </row>
    <row r="167" spans="1:26" s="69" customFormat="1" ht="15" hidden="1" customHeight="1" outlineLevel="2" x14ac:dyDescent="0.3">
      <c r="A167" s="26"/>
      <c r="B167" s="12" t="str">
        <f>CONCATENATE("          ","6399"," - ","DONATION-ON CAMPUS")</f>
        <v xml:space="preserve">          6399 - DONATION-ON CAMPUS</v>
      </c>
      <c r="C167" s="12"/>
      <c r="D167" s="8">
        <v>2998.05</v>
      </c>
      <c r="E167" s="3"/>
      <c r="F167" s="7">
        <f t="shared" si="28"/>
        <v>3.436035146546289E-3</v>
      </c>
      <c r="G167" s="3"/>
      <c r="H167" s="8"/>
      <c r="I167" s="3"/>
      <c r="J167" s="7">
        <f t="shared" si="29"/>
        <v>0</v>
      </c>
      <c r="K167" s="3"/>
      <c r="L167" s="8">
        <f t="shared" si="30"/>
        <v>2998.05</v>
      </c>
      <c r="M167" s="3"/>
      <c r="N167" s="7">
        <f t="shared" si="31"/>
        <v>0</v>
      </c>
      <c r="O167" s="12"/>
      <c r="P167" s="8">
        <v>5818.27</v>
      </c>
      <c r="Q167" s="3"/>
      <c r="R167" s="7">
        <f t="shared" si="32"/>
        <v>1.0833844512639422E-3</v>
      </c>
      <c r="S167" s="3"/>
      <c r="T167" s="8"/>
      <c r="U167" s="3"/>
      <c r="V167" s="7">
        <f t="shared" si="33"/>
        <v>0</v>
      </c>
      <c r="W167" s="3"/>
      <c r="X167" s="8">
        <f t="shared" si="34"/>
        <v>5818.27</v>
      </c>
      <c r="Y167" s="3"/>
      <c r="Z167" s="7">
        <f t="shared" si="35"/>
        <v>0</v>
      </c>
    </row>
    <row r="168" spans="1:26" s="68" customFormat="1" ht="15" customHeight="1" outlineLevel="1" collapsed="1" x14ac:dyDescent="0.3">
      <c r="A168" s="25"/>
      <c r="B168" s="14" t="str">
        <f>CONCATENATE("     ","Employees' Appreciation                           ")</f>
        <v xml:space="preserve">     Employees' Appreciation                           </v>
      </c>
      <c r="C168" s="14"/>
      <c r="D168" s="2">
        <f>SUM(OSRRefD22_8x_0)</f>
        <v>0</v>
      </c>
      <c r="E168" s="2"/>
      <c r="F168" s="6">
        <f t="shared" si="28"/>
        <v>0</v>
      </c>
      <c r="G168" s="2"/>
      <c r="H168" s="2">
        <f>SUM(OSRRefH22_8x_0)</f>
        <v>0</v>
      </c>
      <c r="I168" s="2"/>
      <c r="J168" s="6">
        <f t="shared" si="29"/>
        <v>0</v>
      </c>
      <c r="K168" s="2"/>
      <c r="L168" s="2">
        <f t="shared" si="30"/>
        <v>0</v>
      </c>
      <c r="M168" s="2"/>
      <c r="N168" s="6">
        <f t="shared" si="31"/>
        <v>0</v>
      </c>
      <c r="O168" s="14"/>
      <c r="P168" s="2">
        <f>SUM(OSRRefP22_8x_0)</f>
        <v>4245.1899999999996</v>
      </c>
      <c r="Q168" s="2"/>
      <c r="R168" s="6">
        <f t="shared" si="32"/>
        <v>7.9047085107105276E-4</v>
      </c>
      <c r="S168" s="2"/>
      <c r="T168" s="2">
        <f>SUM(OSRRefT22_8x_0)</f>
        <v>186.03</v>
      </c>
      <c r="U168" s="2"/>
      <c r="V168" s="6">
        <f t="shared" si="33"/>
        <v>4.5562097748341121E-5</v>
      </c>
      <c r="W168" s="2"/>
      <c r="X168" s="2">
        <f t="shared" si="34"/>
        <v>4059.1599999999994</v>
      </c>
      <c r="Y168" s="2"/>
      <c r="Z168" s="6">
        <f t="shared" si="35"/>
        <v>21.819921518034722</v>
      </c>
    </row>
    <row r="169" spans="1:26" s="69" customFormat="1" ht="15" hidden="1" customHeight="1" outlineLevel="2" x14ac:dyDescent="0.3">
      <c r="A169" s="26"/>
      <c r="B169" s="12" t="str">
        <f>CONCATENATE("          ","6277"," - ","EMPLOYEE APPRECIATION")</f>
        <v xml:space="preserve">          6277 - EMPLOYEE APPRECIATION</v>
      </c>
      <c r="C169" s="12"/>
      <c r="D169" s="8"/>
      <c r="E169" s="3"/>
      <c r="F169" s="7">
        <f t="shared" si="28"/>
        <v>0</v>
      </c>
      <c r="G169" s="3"/>
      <c r="H169" s="8">
        <v>0</v>
      </c>
      <c r="I169" s="3"/>
      <c r="J169" s="7">
        <f t="shared" si="29"/>
        <v>0</v>
      </c>
      <c r="K169" s="3"/>
      <c r="L169" s="8">
        <f t="shared" si="30"/>
        <v>0</v>
      </c>
      <c r="M169" s="3"/>
      <c r="N169" s="7">
        <f t="shared" si="31"/>
        <v>0</v>
      </c>
      <c r="O169" s="12"/>
      <c r="P169" s="8">
        <v>4245.1899999999996</v>
      </c>
      <c r="Q169" s="3"/>
      <c r="R169" s="7">
        <f t="shared" si="32"/>
        <v>7.9047085107105276E-4</v>
      </c>
      <c r="S169" s="3"/>
      <c r="T169" s="8">
        <v>186.03</v>
      </c>
      <c r="U169" s="3"/>
      <c r="V169" s="7">
        <f t="shared" si="33"/>
        <v>4.5562097748341121E-5</v>
      </c>
      <c r="W169" s="3"/>
      <c r="X169" s="8">
        <f t="shared" si="34"/>
        <v>4059.1599999999994</v>
      </c>
      <c r="Y169" s="3"/>
      <c r="Z169" s="7">
        <f t="shared" si="35"/>
        <v>21.819921518034722</v>
      </c>
    </row>
    <row r="170" spans="1:26" s="68" customFormat="1" ht="15" customHeight="1" outlineLevel="1" collapsed="1" x14ac:dyDescent="0.3">
      <c r="A170" s="25"/>
      <c r="B170" s="14" t="str">
        <f>CONCATENATE("     ","Equipment Rental                                  ")</f>
        <v xml:space="preserve">     Equipment Rental                                  </v>
      </c>
      <c r="C170" s="14"/>
      <c r="D170" s="2">
        <f>SUM(OSRRefD22_9x_0)</f>
        <v>1388.16</v>
      </c>
      <c r="E170" s="2"/>
      <c r="F170" s="6">
        <f t="shared" si="28"/>
        <v>1.590956304607894E-3</v>
      </c>
      <c r="G170" s="2"/>
      <c r="H170" s="2">
        <f>SUM(OSRRefH22_9x_0)</f>
        <v>1960.61</v>
      </c>
      <c r="I170" s="2"/>
      <c r="J170" s="6">
        <f t="shared" si="29"/>
        <v>9.6594073678840375E-3</v>
      </c>
      <c r="K170" s="2"/>
      <c r="L170" s="2">
        <f t="shared" si="30"/>
        <v>-572.44999999999982</v>
      </c>
      <c r="M170" s="2"/>
      <c r="N170" s="6">
        <f t="shared" si="31"/>
        <v>-0.29197545661809327</v>
      </c>
      <c r="O170" s="14"/>
      <c r="P170" s="2">
        <f>SUM(OSRRefP22_9x_0)</f>
        <v>12728.1</v>
      </c>
      <c r="Q170" s="2"/>
      <c r="R170" s="6">
        <f t="shared" si="32"/>
        <v>2.3700216102265077E-3</v>
      </c>
      <c r="S170" s="2"/>
      <c r="T170" s="2">
        <f>SUM(OSRRefT22_9x_0)</f>
        <v>12590.06</v>
      </c>
      <c r="U170" s="2"/>
      <c r="V170" s="6">
        <f t="shared" si="33"/>
        <v>3.0835324645351802E-3</v>
      </c>
      <c r="W170" s="2"/>
      <c r="X170" s="2">
        <f t="shared" si="34"/>
        <v>138.04000000000087</v>
      </c>
      <c r="Y170" s="2"/>
      <c r="Z170" s="6">
        <f t="shared" si="35"/>
        <v>1.0964205095130674E-2</v>
      </c>
    </row>
    <row r="171" spans="1:26" s="69" customFormat="1" ht="15" hidden="1" customHeight="1" outlineLevel="2" x14ac:dyDescent="0.3">
      <c r="A171" s="26"/>
      <c r="B171" s="12" t="str">
        <f>CONCATENATE("          ","6351"," - ","EQUIPMENT RENTAL")</f>
        <v xml:space="preserve">          6351 - EQUIPMENT RENTAL</v>
      </c>
      <c r="C171" s="12"/>
      <c r="D171" s="8">
        <v>1388.16</v>
      </c>
      <c r="E171" s="3"/>
      <c r="F171" s="7">
        <f t="shared" si="28"/>
        <v>1.590956304607894E-3</v>
      </c>
      <c r="G171" s="3"/>
      <c r="H171" s="8">
        <v>1960.61</v>
      </c>
      <c r="I171" s="3"/>
      <c r="J171" s="7">
        <f t="shared" si="29"/>
        <v>9.6594073678840375E-3</v>
      </c>
      <c r="K171" s="3"/>
      <c r="L171" s="8">
        <f t="shared" si="30"/>
        <v>-572.44999999999982</v>
      </c>
      <c r="M171" s="3"/>
      <c r="N171" s="7">
        <f t="shared" si="31"/>
        <v>-0.29197545661809327</v>
      </c>
      <c r="O171" s="12"/>
      <c r="P171" s="8">
        <v>12728.1</v>
      </c>
      <c r="Q171" s="3"/>
      <c r="R171" s="7">
        <f t="shared" si="32"/>
        <v>2.3700216102265077E-3</v>
      </c>
      <c r="S171" s="3"/>
      <c r="T171" s="8">
        <v>12590.06</v>
      </c>
      <c r="U171" s="3"/>
      <c r="V171" s="7">
        <f t="shared" si="33"/>
        <v>3.0835324645351802E-3</v>
      </c>
      <c r="W171" s="3"/>
      <c r="X171" s="8">
        <f t="shared" si="34"/>
        <v>138.04000000000087</v>
      </c>
      <c r="Y171" s="3"/>
      <c r="Z171" s="7">
        <f t="shared" si="35"/>
        <v>1.0964205095130674E-2</v>
      </c>
    </row>
    <row r="172" spans="1:26" s="68" customFormat="1" ht="15" customHeight="1" outlineLevel="1" collapsed="1" x14ac:dyDescent="0.3">
      <c r="A172" s="25"/>
      <c r="B172" s="14" t="str">
        <f>CONCATENATE("     ","Freight out/Postage                               ")</f>
        <v xml:space="preserve">     Freight out/Postage                               </v>
      </c>
      <c r="C172" s="14"/>
      <c r="D172" s="2">
        <f>SUM(OSRRefD22_10x_0)</f>
        <v>-7059.8099999999995</v>
      </c>
      <c r="E172" s="2"/>
      <c r="F172" s="6">
        <f t="shared" si="28"/>
        <v>-8.0911776948146136E-3</v>
      </c>
      <c r="G172" s="2"/>
      <c r="H172" s="2">
        <f>SUM(OSRRefH22_10x_0)</f>
        <v>4255.9500000000007</v>
      </c>
      <c r="I172" s="2"/>
      <c r="J172" s="6">
        <f t="shared" si="29"/>
        <v>2.0967940991500643E-2</v>
      </c>
      <c r="K172" s="2"/>
      <c r="L172" s="2">
        <f t="shared" si="30"/>
        <v>-11315.76</v>
      </c>
      <c r="M172" s="2"/>
      <c r="N172" s="6">
        <f t="shared" si="31"/>
        <v>-2.6588094315017794</v>
      </c>
      <c r="O172" s="14"/>
      <c r="P172" s="2">
        <f>SUM(OSRRefP22_10x_0)</f>
        <v>-46507.91</v>
      </c>
      <c r="Q172" s="2"/>
      <c r="R172" s="6">
        <f t="shared" si="32"/>
        <v>-8.6599533116859164E-3</v>
      </c>
      <c r="S172" s="2"/>
      <c r="T172" s="2">
        <f>SUM(OSRRefT22_10x_0)</f>
        <v>-32446.010000000009</v>
      </c>
      <c r="U172" s="2"/>
      <c r="V172" s="6">
        <f t="shared" si="33"/>
        <v>-7.9466122623429222E-3</v>
      </c>
      <c r="W172" s="2"/>
      <c r="X172" s="2">
        <f t="shared" si="34"/>
        <v>-14061.899999999994</v>
      </c>
      <c r="Y172" s="2"/>
      <c r="Z172" s="6">
        <f t="shared" si="35"/>
        <v>0.43339381329168025</v>
      </c>
    </row>
    <row r="173" spans="1:26" s="69" customFormat="1" ht="15" hidden="1" customHeight="1" outlineLevel="2" x14ac:dyDescent="0.3">
      <c r="A173" s="26"/>
      <c r="B173" s="12" t="str">
        <f>CONCATENATE("          ","6305"," - ","FREIGHT OUT")</f>
        <v xml:space="preserve">          6305 - FREIGHT OUT</v>
      </c>
      <c r="C173" s="12"/>
      <c r="D173" s="8">
        <v>7594.99</v>
      </c>
      <c r="E173" s="3"/>
      <c r="F173" s="7">
        <f t="shared" si="28"/>
        <v>8.7045421449500841E-3</v>
      </c>
      <c r="G173" s="3"/>
      <c r="H173" s="8">
        <v>26268.48</v>
      </c>
      <c r="I173" s="3"/>
      <c r="J173" s="7">
        <f t="shared" si="29"/>
        <v>0.12941785936780617</v>
      </c>
      <c r="K173" s="3"/>
      <c r="L173" s="8">
        <f t="shared" si="30"/>
        <v>-18673.489999999998</v>
      </c>
      <c r="M173" s="3"/>
      <c r="N173" s="7">
        <f t="shared" si="31"/>
        <v>-0.7108705947203644</v>
      </c>
      <c r="O173" s="12"/>
      <c r="P173" s="8">
        <v>101731.44</v>
      </c>
      <c r="Q173" s="3"/>
      <c r="R173" s="7">
        <f t="shared" si="32"/>
        <v>1.8942788887537129E-2</v>
      </c>
      <c r="S173" s="3"/>
      <c r="T173" s="8">
        <v>161875.10999999999</v>
      </c>
      <c r="U173" s="3"/>
      <c r="V173" s="7">
        <f t="shared" si="33"/>
        <v>3.9646130112581147E-2</v>
      </c>
      <c r="W173" s="3"/>
      <c r="X173" s="8">
        <f t="shared" si="34"/>
        <v>-60143.669999999984</v>
      </c>
      <c r="Y173" s="3"/>
      <c r="Z173" s="7">
        <f t="shared" si="35"/>
        <v>-0.37154365485836577</v>
      </c>
    </row>
    <row r="174" spans="1:26" s="69" customFormat="1" ht="15" hidden="1" customHeight="1" outlineLevel="2" x14ac:dyDescent="0.3">
      <c r="A174" s="26"/>
      <c r="B174" s="12" t="str">
        <f>CONCATENATE("          ","6307"," - ","POSTAGE")</f>
        <v xml:space="preserve">          6307 - POSTAGE</v>
      </c>
      <c r="C174" s="12"/>
      <c r="D174" s="8">
        <v>-14654.8</v>
      </c>
      <c r="E174" s="3"/>
      <c r="F174" s="7">
        <f t="shared" si="28"/>
        <v>-1.6795719839764699E-2</v>
      </c>
      <c r="G174" s="3"/>
      <c r="H174" s="8">
        <v>-22012.53</v>
      </c>
      <c r="I174" s="3"/>
      <c r="J174" s="7">
        <f t="shared" si="29"/>
        <v>-0.10844991837630553</v>
      </c>
      <c r="K174" s="3"/>
      <c r="L174" s="8">
        <f t="shared" si="30"/>
        <v>7357.73</v>
      </c>
      <c r="M174" s="3"/>
      <c r="N174" s="7">
        <f t="shared" si="31"/>
        <v>-0.33425190107634151</v>
      </c>
      <c r="O174" s="12"/>
      <c r="P174" s="8">
        <v>-148239.35</v>
      </c>
      <c r="Q174" s="3"/>
      <c r="R174" s="7">
        <f t="shared" si="32"/>
        <v>-2.7602742199223047E-2</v>
      </c>
      <c r="S174" s="3"/>
      <c r="T174" s="8">
        <v>-194321.12</v>
      </c>
      <c r="U174" s="3"/>
      <c r="V174" s="7">
        <f t="shared" si="33"/>
        <v>-4.7592742374924071E-2</v>
      </c>
      <c r="W174" s="3"/>
      <c r="X174" s="8">
        <f t="shared" si="34"/>
        <v>46081.76999999999</v>
      </c>
      <c r="Y174" s="3"/>
      <c r="Z174" s="7">
        <f t="shared" si="35"/>
        <v>-0.23714236517368772</v>
      </c>
    </row>
    <row r="175" spans="1:26" s="68" customFormat="1" ht="15" customHeight="1" outlineLevel="1" collapsed="1" x14ac:dyDescent="0.3">
      <c r="A175" s="25"/>
      <c r="B175" s="14" t="str">
        <f>CONCATENATE("     ","General                                           ")</f>
        <v xml:space="preserve">     General                                           </v>
      </c>
      <c r="C175" s="14"/>
      <c r="D175" s="2">
        <f>SUM(OSRRefD22_11x_0)</f>
        <v>1835.81</v>
      </c>
      <c r="E175" s="2"/>
      <c r="F175" s="6">
        <f t="shared" si="28"/>
        <v>2.1040034963997075E-3</v>
      </c>
      <c r="G175" s="2"/>
      <c r="H175" s="2">
        <f>SUM(OSRRefH22_11x_0)</f>
        <v>-4.21</v>
      </c>
      <c r="I175" s="2"/>
      <c r="J175" s="6">
        <f t="shared" si="29"/>
        <v>-2.0741557484044147E-5</v>
      </c>
      <c r="K175" s="2"/>
      <c r="L175" s="2">
        <f t="shared" si="30"/>
        <v>1840.02</v>
      </c>
      <c r="M175" s="2"/>
      <c r="N175" s="6">
        <f t="shared" si="31"/>
        <v>-437.05938242280286</v>
      </c>
      <c r="O175" s="14"/>
      <c r="P175" s="2">
        <f>SUM(OSRRefP22_11x_0)</f>
        <v>9517.26</v>
      </c>
      <c r="Q175" s="2"/>
      <c r="R175" s="6">
        <f t="shared" si="32"/>
        <v>1.7721507428559119E-3</v>
      </c>
      <c r="S175" s="2"/>
      <c r="T175" s="2">
        <f>SUM(OSRRefT22_11x_0)</f>
        <v>5298.28</v>
      </c>
      <c r="U175" s="2"/>
      <c r="V175" s="6">
        <f t="shared" si="33"/>
        <v>1.2976442039352835E-3</v>
      </c>
      <c r="W175" s="2"/>
      <c r="X175" s="2">
        <f t="shared" si="34"/>
        <v>4218.9800000000005</v>
      </c>
      <c r="Y175" s="2"/>
      <c r="Z175" s="6">
        <f t="shared" si="35"/>
        <v>0.79629238167858263</v>
      </c>
    </row>
    <row r="176" spans="1:26" s="69" customFormat="1" ht="15" hidden="1" customHeight="1" outlineLevel="2" x14ac:dyDescent="0.3">
      <c r="A176" s="26"/>
      <c r="B176" s="12" t="str">
        <f>CONCATENATE("          ","6279"," - ","GENERAL EXPENSE")</f>
        <v xml:space="preserve">          6279 - GENERAL EXPENSE</v>
      </c>
      <c r="C176" s="12"/>
      <c r="D176" s="8">
        <v>1835.81</v>
      </c>
      <c r="E176" s="3"/>
      <c r="F176" s="7">
        <f t="shared" si="28"/>
        <v>2.1040034963997075E-3</v>
      </c>
      <c r="G176" s="3"/>
      <c r="H176" s="8">
        <v>-4.21</v>
      </c>
      <c r="I176" s="3"/>
      <c r="J176" s="7">
        <f t="shared" si="29"/>
        <v>-2.0741557484044147E-5</v>
      </c>
      <c r="K176" s="3"/>
      <c r="L176" s="8">
        <f t="shared" si="30"/>
        <v>1840.02</v>
      </c>
      <c r="M176" s="3"/>
      <c r="N176" s="7">
        <f t="shared" si="31"/>
        <v>-437.05938242280286</v>
      </c>
      <c r="O176" s="12"/>
      <c r="P176" s="8">
        <v>9517.26</v>
      </c>
      <c r="Q176" s="3"/>
      <c r="R176" s="7">
        <f t="shared" si="32"/>
        <v>1.7721507428559119E-3</v>
      </c>
      <c r="S176" s="3"/>
      <c r="T176" s="8">
        <v>5298.28</v>
      </c>
      <c r="U176" s="3"/>
      <c r="V176" s="7">
        <f t="shared" si="33"/>
        <v>1.2976442039352835E-3</v>
      </c>
      <c r="W176" s="3"/>
      <c r="X176" s="8">
        <f t="shared" si="34"/>
        <v>4218.9800000000005</v>
      </c>
      <c r="Y176" s="3"/>
      <c r="Z176" s="7">
        <f t="shared" si="35"/>
        <v>0.79629238167858263</v>
      </c>
    </row>
    <row r="177" spans="1:26" s="68" customFormat="1" ht="15" customHeight="1" outlineLevel="1" collapsed="1" x14ac:dyDescent="0.3">
      <c r="A177" s="25"/>
      <c r="B177" s="14" t="str">
        <f>CONCATENATE("     ","Insurance                                         ")</f>
        <v xml:space="preserve">     Insurance                                         </v>
      </c>
      <c r="C177" s="14"/>
      <c r="D177" s="2">
        <f>SUM(OSRRefD22_12x_0)</f>
        <v>5825.58</v>
      </c>
      <c r="E177" s="2"/>
      <c r="F177" s="6">
        <f t="shared" si="28"/>
        <v>6.6766390250386515E-3</v>
      </c>
      <c r="G177" s="2"/>
      <c r="H177" s="2">
        <f>SUM(OSRRefH22_12x_0)</f>
        <v>4288.28</v>
      </c>
      <c r="I177" s="2"/>
      <c r="J177" s="6">
        <f t="shared" si="29"/>
        <v>2.1127222358118012E-2</v>
      </c>
      <c r="K177" s="2"/>
      <c r="L177" s="2">
        <f t="shared" si="30"/>
        <v>1537.3000000000002</v>
      </c>
      <c r="M177" s="2"/>
      <c r="N177" s="6">
        <f t="shared" si="31"/>
        <v>0.35848871808743837</v>
      </c>
      <c r="O177" s="14"/>
      <c r="P177" s="2">
        <f>SUM(OSRRefP22_12x_0)</f>
        <v>46604.639999999999</v>
      </c>
      <c r="Q177" s="2"/>
      <c r="R177" s="6">
        <f t="shared" si="32"/>
        <v>8.6779648130378226E-3</v>
      </c>
      <c r="S177" s="2"/>
      <c r="T177" s="2">
        <f>SUM(OSRRefT22_12x_0)</f>
        <v>34306.239999999998</v>
      </c>
      <c r="U177" s="2"/>
      <c r="V177" s="6">
        <f t="shared" si="33"/>
        <v>8.4022160955655005E-3</v>
      </c>
      <c r="W177" s="2"/>
      <c r="X177" s="2">
        <f t="shared" si="34"/>
        <v>12298.400000000001</v>
      </c>
      <c r="Y177" s="2"/>
      <c r="Z177" s="6">
        <f t="shared" si="35"/>
        <v>0.35848871808743837</v>
      </c>
    </row>
    <row r="178" spans="1:26" s="69" customFormat="1" ht="15" hidden="1" customHeight="1" outlineLevel="2" x14ac:dyDescent="0.3">
      <c r="A178" s="26"/>
      <c r="B178" s="12" t="str">
        <f>CONCATENATE("          ","6314"," - ","LIABILITY INSURANCE")</f>
        <v xml:space="preserve">          6314 - LIABILITY INSURANCE</v>
      </c>
      <c r="C178" s="12"/>
      <c r="D178" s="8">
        <v>5825.58</v>
      </c>
      <c r="E178" s="3"/>
      <c r="F178" s="7">
        <f t="shared" si="28"/>
        <v>6.6766390250386515E-3</v>
      </c>
      <c r="G178" s="3"/>
      <c r="H178" s="8">
        <v>4288.28</v>
      </c>
      <c r="I178" s="3"/>
      <c r="J178" s="7">
        <f t="shared" si="29"/>
        <v>2.1127222358118012E-2</v>
      </c>
      <c r="K178" s="3"/>
      <c r="L178" s="8">
        <f t="shared" si="30"/>
        <v>1537.3000000000002</v>
      </c>
      <c r="M178" s="3"/>
      <c r="N178" s="7">
        <f t="shared" si="31"/>
        <v>0.35848871808743837</v>
      </c>
      <c r="O178" s="12"/>
      <c r="P178" s="8">
        <v>46604.639999999999</v>
      </c>
      <c r="Q178" s="3"/>
      <c r="R178" s="7">
        <f t="shared" si="32"/>
        <v>8.6779648130378226E-3</v>
      </c>
      <c r="S178" s="3"/>
      <c r="T178" s="8">
        <v>34306.239999999998</v>
      </c>
      <c r="U178" s="3"/>
      <c r="V178" s="7">
        <f t="shared" si="33"/>
        <v>8.4022160955655005E-3</v>
      </c>
      <c r="W178" s="3"/>
      <c r="X178" s="8">
        <f t="shared" si="34"/>
        <v>12298.400000000001</v>
      </c>
      <c r="Y178" s="3"/>
      <c r="Z178" s="7">
        <f t="shared" si="35"/>
        <v>0.35848871808743837</v>
      </c>
    </row>
    <row r="179" spans="1:26" s="68" customFormat="1" ht="15" customHeight="1" outlineLevel="1" collapsed="1" x14ac:dyDescent="0.3">
      <c r="A179" s="25"/>
      <c r="B179" s="14" t="str">
        <f>CONCATENATE("     ","Interest                                          ")</f>
        <v xml:space="preserve">     Interest                                          </v>
      </c>
      <c r="C179" s="14"/>
      <c r="D179" s="2">
        <f>SUM(OSRRefD22_13x_0)</f>
        <v>3905</v>
      </c>
      <c r="E179" s="2"/>
      <c r="F179" s="6">
        <f t="shared" si="28"/>
        <v>4.4754814787155844E-3</v>
      </c>
      <c r="G179" s="2"/>
      <c r="H179" s="2">
        <f>SUM(OSRRefH22_13x_0)</f>
        <v>4044</v>
      </c>
      <c r="I179" s="2"/>
      <c r="J179" s="6">
        <f t="shared" si="29"/>
        <v>1.9923719350469011E-2</v>
      </c>
      <c r="K179" s="2"/>
      <c r="L179" s="2">
        <f t="shared" si="30"/>
        <v>-139</v>
      </c>
      <c r="M179" s="2"/>
      <c r="N179" s="6">
        <f t="shared" si="31"/>
        <v>-3.4371909000989118E-2</v>
      </c>
      <c r="O179" s="14"/>
      <c r="P179" s="2">
        <f>SUM(OSRRefP22_13x_0)</f>
        <v>30964</v>
      </c>
      <c r="Q179" s="2"/>
      <c r="R179" s="6">
        <f t="shared" si="32"/>
        <v>5.7656169529665532E-3</v>
      </c>
      <c r="S179" s="2"/>
      <c r="T179" s="2">
        <f>SUM(OSRRefT22_13x_0)</f>
        <v>32089.85</v>
      </c>
      <c r="U179" s="2"/>
      <c r="V179" s="6">
        <f t="shared" si="33"/>
        <v>7.8593822632349857E-3</v>
      </c>
      <c r="W179" s="2"/>
      <c r="X179" s="2">
        <f t="shared" si="34"/>
        <v>-1125.8499999999985</v>
      </c>
      <c r="Y179" s="2"/>
      <c r="Z179" s="6">
        <f t="shared" si="35"/>
        <v>-3.5084302357287385E-2</v>
      </c>
    </row>
    <row r="180" spans="1:26" s="69" customFormat="1" ht="15" hidden="1" customHeight="1" outlineLevel="2" x14ac:dyDescent="0.3">
      <c r="A180" s="26"/>
      <c r="B180" s="12" t="str">
        <f>CONCATENATE("          ","6401"," - ","INTEREST EXPENSE")</f>
        <v xml:space="preserve">          6401 - INTEREST EXPENSE</v>
      </c>
      <c r="C180" s="12"/>
      <c r="D180" s="8">
        <v>3905</v>
      </c>
      <c r="E180" s="3"/>
      <c r="F180" s="7">
        <f t="shared" si="28"/>
        <v>4.4754814787155844E-3</v>
      </c>
      <c r="G180" s="3"/>
      <c r="H180" s="8">
        <v>4044</v>
      </c>
      <c r="I180" s="3"/>
      <c r="J180" s="7">
        <f t="shared" si="29"/>
        <v>1.9923719350469011E-2</v>
      </c>
      <c r="K180" s="3"/>
      <c r="L180" s="8">
        <f t="shared" si="30"/>
        <v>-139</v>
      </c>
      <c r="M180" s="3"/>
      <c r="N180" s="7">
        <f t="shared" si="31"/>
        <v>-3.4371909000989118E-2</v>
      </c>
      <c r="O180" s="12"/>
      <c r="P180" s="8">
        <v>30964</v>
      </c>
      <c r="Q180" s="3"/>
      <c r="R180" s="7">
        <f t="shared" si="32"/>
        <v>5.7656169529665532E-3</v>
      </c>
      <c r="S180" s="3"/>
      <c r="T180" s="8">
        <v>32089.85</v>
      </c>
      <c r="U180" s="3"/>
      <c r="V180" s="7">
        <f t="shared" si="33"/>
        <v>7.8593822632349857E-3</v>
      </c>
      <c r="W180" s="3"/>
      <c r="X180" s="8">
        <f t="shared" si="34"/>
        <v>-1125.8499999999985</v>
      </c>
      <c r="Y180" s="3"/>
      <c r="Z180" s="7">
        <f t="shared" si="35"/>
        <v>-3.5084302357287385E-2</v>
      </c>
    </row>
    <row r="181" spans="1:26" s="68" customFormat="1" ht="15" customHeight="1" outlineLevel="1" collapsed="1" x14ac:dyDescent="0.3">
      <c r="A181" s="25"/>
      <c r="B181" s="14" t="str">
        <f>CONCATENATE("     ","Inventory Adjustment                              ")</f>
        <v xml:space="preserve">     Inventory Adjustment                              </v>
      </c>
      <c r="C181" s="14"/>
      <c r="D181" s="2">
        <f>SUM(OSRRefD22_14x_0)</f>
        <v>5100</v>
      </c>
      <c r="E181" s="2"/>
      <c r="F181" s="6">
        <f t="shared" si="28"/>
        <v>5.845059037503068E-3</v>
      </c>
      <c r="G181" s="2"/>
      <c r="H181" s="2">
        <f>SUM(OSRRefH22_14x_0)</f>
        <v>2100</v>
      </c>
      <c r="I181" s="2"/>
      <c r="J181" s="6">
        <f t="shared" si="29"/>
        <v>1.0346145063299931E-2</v>
      </c>
      <c r="K181" s="2"/>
      <c r="L181" s="2">
        <f t="shared" si="30"/>
        <v>3000</v>
      </c>
      <c r="M181" s="2"/>
      <c r="N181" s="6">
        <f t="shared" si="31"/>
        <v>1.4285714285714286</v>
      </c>
      <c r="O181" s="14"/>
      <c r="P181" s="2">
        <f>SUM(OSRRefP22_14x_0)</f>
        <v>44800</v>
      </c>
      <c r="Q181" s="2"/>
      <c r="R181" s="6">
        <f t="shared" si="32"/>
        <v>8.3419338422975574E-3</v>
      </c>
      <c r="S181" s="2"/>
      <c r="T181" s="2">
        <f>SUM(OSRRefT22_14x_0)</f>
        <v>21800</v>
      </c>
      <c r="U181" s="2"/>
      <c r="V181" s="6">
        <f t="shared" si="33"/>
        <v>5.3392126587853382E-3</v>
      </c>
      <c r="W181" s="2"/>
      <c r="X181" s="2">
        <f t="shared" si="34"/>
        <v>23000</v>
      </c>
      <c r="Y181" s="2"/>
      <c r="Z181" s="6">
        <f t="shared" si="35"/>
        <v>1.0550458715596329</v>
      </c>
    </row>
    <row r="182" spans="1:26" s="69" customFormat="1" ht="15" hidden="1" customHeight="1" outlineLevel="2" x14ac:dyDescent="0.3">
      <c r="A182" s="26"/>
      <c r="B182" s="12" t="str">
        <f>CONCATENATE("          ","6408"," - ","INVENTORY ADJUSTMENT")</f>
        <v xml:space="preserve">          6408 - INVENTORY ADJUSTMENT</v>
      </c>
      <c r="C182" s="12"/>
      <c r="D182" s="8">
        <v>5100</v>
      </c>
      <c r="E182" s="3"/>
      <c r="F182" s="7">
        <f t="shared" si="28"/>
        <v>5.845059037503068E-3</v>
      </c>
      <c r="G182" s="3"/>
      <c r="H182" s="8">
        <v>2100</v>
      </c>
      <c r="I182" s="3"/>
      <c r="J182" s="7">
        <f t="shared" si="29"/>
        <v>1.0346145063299931E-2</v>
      </c>
      <c r="K182" s="3"/>
      <c r="L182" s="8">
        <f t="shared" si="30"/>
        <v>3000</v>
      </c>
      <c r="M182" s="3"/>
      <c r="N182" s="7">
        <f t="shared" si="31"/>
        <v>1.4285714285714286</v>
      </c>
      <c r="O182" s="12"/>
      <c r="P182" s="8">
        <v>44800</v>
      </c>
      <c r="Q182" s="3"/>
      <c r="R182" s="7">
        <f t="shared" si="32"/>
        <v>8.3419338422975574E-3</v>
      </c>
      <c r="S182" s="3"/>
      <c r="T182" s="8">
        <v>21800</v>
      </c>
      <c r="U182" s="3"/>
      <c r="V182" s="7">
        <f t="shared" si="33"/>
        <v>5.3392126587853382E-3</v>
      </c>
      <c r="W182" s="3"/>
      <c r="X182" s="8">
        <f t="shared" si="34"/>
        <v>23000</v>
      </c>
      <c r="Y182" s="3"/>
      <c r="Z182" s="7">
        <f t="shared" si="35"/>
        <v>1.0550458715596329</v>
      </c>
    </row>
    <row r="183" spans="1:26" s="69" customFormat="1" ht="15" hidden="1" customHeight="1" outlineLevel="2" x14ac:dyDescent="0.3">
      <c r="A183" s="26"/>
      <c r="B183" s="12" t="str">
        <f>CONCATENATE("          ","7741"," - ","INV. SHRINKAGE-LOGO GIFTS")</f>
        <v xml:space="preserve">          7741 - INV. SHRINKAGE-LOGO GIFTS</v>
      </c>
      <c r="C183" s="12"/>
      <c r="D183" s="8"/>
      <c r="E183" s="3"/>
      <c r="F183" s="7">
        <f t="shared" si="28"/>
        <v>0</v>
      </c>
      <c r="G183" s="3"/>
      <c r="H183" s="8"/>
      <c r="I183" s="3"/>
      <c r="J183" s="7">
        <f t="shared" si="29"/>
        <v>0</v>
      </c>
      <c r="K183" s="3"/>
      <c r="L183" s="8">
        <f t="shared" si="30"/>
        <v>0</v>
      </c>
      <c r="M183" s="3"/>
      <c r="N183" s="7">
        <f t="shared" si="31"/>
        <v>0</v>
      </c>
      <c r="O183" s="12"/>
      <c r="P183" s="8"/>
      <c r="Q183" s="3"/>
      <c r="R183" s="7">
        <f t="shared" si="32"/>
        <v>0</v>
      </c>
      <c r="S183" s="3"/>
      <c r="T183" s="8">
        <v>0</v>
      </c>
      <c r="U183" s="3"/>
      <c r="V183" s="7">
        <f t="shared" si="33"/>
        <v>0</v>
      </c>
      <c r="W183" s="3"/>
      <c r="X183" s="8">
        <f t="shared" si="34"/>
        <v>0</v>
      </c>
      <c r="Y183" s="3"/>
      <c r="Z183" s="7">
        <f t="shared" si="35"/>
        <v>0</v>
      </c>
    </row>
    <row r="184" spans="1:26" s="68" customFormat="1" ht="15" customHeight="1" outlineLevel="1" collapsed="1" x14ac:dyDescent="0.3">
      <c r="A184" s="25"/>
      <c r="B184" s="14" t="str">
        <f>CONCATENATE("     ","Professional Services                             ")</f>
        <v xml:space="preserve">     Professional Services                             </v>
      </c>
      <c r="C184" s="14"/>
      <c r="D184" s="2">
        <f>SUM(OSRRefD22_15x_0)</f>
        <v>390</v>
      </c>
      <c r="E184" s="2"/>
      <c r="F184" s="6">
        <f t="shared" si="28"/>
        <v>4.469751028678817E-4</v>
      </c>
      <c r="G184" s="2"/>
      <c r="H184" s="2">
        <f>SUM(OSRRefH22_15x_0)</f>
        <v>0</v>
      </c>
      <c r="I184" s="2"/>
      <c r="J184" s="6">
        <f t="shared" si="29"/>
        <v>0</v>
      </c>
      <c r="K184" s="2"/>
      <c r="L184" s="2">
        <f t="shared" si="30"/>
        <v>390</v>
      </c>
      <c r="M184" s="2"/>
      <c r="N184" s="6">
        <f t="shared" si="31"/>
        <v>0</v>
      </c>
      <c r="O184" s="14"/>
      <c r="P184" s="2">
        <f>SUM(OSRRefP22_15x_0)</f>
        <v>8576.5300000000007</v>
      </c>
      <c r="Q184" s="2"/>
      <c r="R184" s="6">
        <f t="shared" si="32"/>
        <v>1.596983166439292E-3</v>
      </c>
      <c r="S184" s="2"/>
      <c r="T184" s="2">
        <f>SUM(OSRRefT22_15x_0)</f>
        <v>0</v>
      </c>
      <c r="U184" s="2"/>
      <c r="V184" s="6">
        <f t="shared" si="33"/>
        <v>0</v>
      </c>
      <c r="W184" s="2"/>
      <c r="X184" s="2">
        <f t="shared" si="34"/>
        <v>8576.5300000000007</v>
      </c>
      <c r="Y184" s="2"/>
      <c r="Z184" s="6">
        <f t="shared" si="35"/>
        <v>0</v>
      </c>
    </row>
    <row r="185" spans="1:26" s="69" customFormat="1" ht="15" hidden="1" customHeight="1" outlineLevel="2" x14ac:dyDescent="0.3">
      <c r="A185" s="26"/>
      <c r="B185" s="12" t="str">
        <f>CONCATENATE("          ","6336"," - ","PROFESSIONAL SERVICES")</f>
        <v xml:space="preserve">          6336 - PROFESSIONAL SERVICES</v>
      </c>
      <c r="C185" s="12"/>
      <c r="D185" s="8">
        <v>390</v>
      </c>
      <c r="E185" s="3"/>
      <c r="F185" s="7">
        <f t="shared" si="28"/>
        <v>4.469751028678817E-4</v>
      </c>
      <c r="G185" s="3"/>
      <c r="H185" s="8"/>
      <c r="I185" s="3"/>
      <c r="J185" s="7">
        <f t="shared" si="29"/>
        <v>0</v>
      </c>
      <c r="K185" s="3"/>
      <c r="L185" s="8">
        <f t="shared" si="30"/>
        <v>390</v>
      </c>
      <c r="M185" s="3"/>
      <c r="N185" s="7">
        <f t="shared" si="31"/>
        <v>0</v>
      </c>
      <c r="O185" s="12"/>
      <c r="P185" s="8">
        <v>8576.5300000000007</v>
      </c>
      <c r="Q185" s="3"/>
      <c r="R185" s="7">
        <f t="shared" si="32"/>
        <v>1.596983166439292E-3</v>
      </c>
      <c r="S185" s="3"/>
      <c r="T185" s="8"/>
      <c r="U185" s="3"/>
      <c r="V185" s="7">
        <f t="shared" si="33"/>
        <v>0</v>
      </c>
      <c r="W185" s="3"/>
      <c r="X185" s="8">
        <f t="shared" si="34"/>
        <v>8576.5300000000007</v>
      </c>
      <c r="Y185" s="3"/>
      <c r="Z185" s="7">
        <f t="shared" si="35"/>
        <v>0</v>
      </c>
    </row>
    <row r="186" spans="1:26" s="68" customFormat="1" ht="15" customHeight="1" outlineLevel="1" collapsed="1" x14ac:dyDescent="0.3">
      <c r="A186" s="25"/>
      <c r="B186" s="14" t="str">
        <f>CONCATENATE("     ","Rent                                              ")</f>
        <v xml:space="preserve">     Rent                                              </v>
      </c>
      <c r="C186" s="14"/>
      <c r="D186" s="2">
        <f>SUM(OSRRefD22_16x_0)</f>
        <v>6100</v>
      </c>
      <c r="E186" s="2"/>
      <c r="F186" s="6">
        <f t="shared" si="28"/>
        <v>6.9911490448566109E-3</v>
      </c>
      <c r="G186" s="2"/>
      <c r="H186" s="2">
        <f>SUM(OSRRefH22_16x_0)</f>
        <v>6100</v>
      </c>
      <c r="I186" s="2"/>
      <c r="J186" s="6">
        <f t="shared" si="29"/>
        <v>3.0053088041014087E-2</v>
      </c>
      <c r="K186" s="2"/>
      <c r="L186" s="2">
        <f t="shared" si="30"/>
        <v>0</v>
      </c>
      <c r="M186" s="2"/>
      <c r="N186" s="6">
        <f t="shared" si="31"/>
        <v>0</v>
      </c>
      <c r="O186" s="14"/>
      <c r="P186" s="2">
        <f>SUM(OSRRefP22_16x_0)</f>
        <v>48800</v>
      </c>
      <c r="Q186" s="2"/>
      <c r="R186" s="6">
        <f t="shared" si="32"/>
        <v>9.0867493639312687E-3</v>
      </c>
      <c r="S186" s="2"/>
      <c r="T186" s="2">
        <f>SUM(OSRRefT22_16x_0)</f>
        <v>48800</v>
      </c>
      <c r="U186" s="2"/>
      <c r="V186" s="6">
        <f t="shared" si="33"/>
        <v>1.1951998979299289E-2</v>
      </c>
      <c r="W186" s="2"/>
      <c r="X186" s="2">
        <f t="shared" si="34"/>
        <v>0</v>
      </c>
      <c r="Y186" s="2"/>
      <c r="Z186" s="6">
        <f t="shared" si="35"/>
        <v>0</v>
      </c>
    </row>
    <row r="187" spans="1:26" s="69" customFormat="1" ht="15" hidden="1" customHeight="1" outlineLevel="2" x14ac:dyDescent="0.3">
      <c r="A187" s="26"/>
      <c r="B187" s="12" t="str">
        <f>CONCATENATE("          ","6273"," - ","RENT")</f>
        <v xml:space="preserve">          6273 - RENT</v>
      </c>
      <c r="C187" s="12"/>
      <c r="D187" s="8">
        <v>6100</v>
      </c>
      <c r="E187" s="3"/>
      <c r="F187" s="7">
        <f t="shared" si="28"/>
        <v>6.9911490448566109E-3</v>
      </c>
      <c r="G187" s="3"/>
      <c r="H187" s="8">
        <v>6100</v>
      </c>
      <c r="I187" s="3"/>
      <c r="J187" s="7">
        <f t="shared" si="29"/>
        <v>3.0053088041014087E-2</v>
      </c>
      <c r="K187" s="3"/>
      <c r="L187" s="8">
        <f t="shared" si="30"/>
        <v>0</v>
      </c>
      <c r="M187" s="3"/>
      <c r="N187" s="7">
        <f t="shared" si="31"/>
        <v>0</v>
      </c>
      <c r="O187" s="12"/>
      <c r="P187" s="8">
        <v>48800</v>
      </c>
      <c r="Q187" s="3"/>
      <c r="R187" s="7">
        <f t="shared" si="32"/>
        <v>9.0867493639312687E-3</v>
      </c>
      <c r="S187" s="3"/>
      <c r="T187" s="8">
        <v>48800</v>
      </c>
      <c r="U187" s="3"/>
      <c r="V187" s="7">
        <f t="shared" si="33"/>
        <v>1.1951998979299289E-2</v>
      </c>
      <c r="W187" s="3"/>
      <c r="X187" s="8">
        <f t="shared" si="34"/>
        <v>0</v>
      </c>
      <c r="Y187" s="3"/>
      <c r="Z187" s="7">
        <f t="shared" si="35"/>
        <v>0</v>
      </c>
    </row>
    <row r="188" spans="1:26" s="68" customFormat="1" ht="15" customHeight="1" outlineLevel="1" collapsed="1" x14ac:dyDescent="0.3">
      <c r="A188" s="25"/>
      <c r="B188" s="14" t="str">
        <f>CONCATENATE("     ","Repair and Maintenance                            ")</f>
        <v xml:space="preserve">     Repair and Maintenance                            </v>
      </c>
      <c r="C188" s="14"/>
      <c r="D188" s="2">
        <f>SUM(OSRRefD22_17x_0)</f>
        <v>8747.14</v>
      </c>
      <c r="E188" s="2"/>
      <c r="F188" s="6">
        <f t="shared" si="28"/>
        <v>1.0025009746922468E-2</v>
      </c>
      <c r="G188" s="2"/>
      <c r="H188" s="2">
        <f>SUM(OSRRefH22_17x_0)</f>
        <v>16237.08</v>
      </c>
      <c r="I188" s="2"/>
      <c r="J188" s="6">
        <f t="shared" si="29"/>
        <v>7.9995802421145734E-2</v>
      </c>
      <c r="K188" s="2"/>
      <c r="L188" s="2">
        <f t="shared" si="30"/>
        <v>-7489.9400000000005</v>
      </c>
      <c r="M188" s="2"/>
      <c r="N188" s="6">
        <f t="shared" si="31"/>
        <v>-0.46128614258228701</v>
      </c>
      <c r="O188" s="14"/>
      <c r="P188" s="2">
        <f>SUM(OSRRefP22_17x_0)</f>
        <v>121480.70999999999</v>
      </c>
      <c r="Q188" s="2"/>
      <c r="R188" s="6">
        <f t="shared" si="32"/>
        <v>2.2620179596770876E-2</v>
      </c>
      <c r="S188" s="2"/>
      <c r="T188" s="2">
        <f>SUM(OSRRefT22_17x_0)</f>
        <v>131356.25</v>
      </c>
      <c r="U188" s="2"/>
      <c r="V188" s="6">
        <f t="shared" si="33"/>
        <v>3.2171511596815208E-2</v>
      </c>
      <c r="W188" s="2"/>
      <c r="X188" s="2">
        <f t="shared" si="34"/>
        <v>-9875.5400000000081</v>
      </c>
      <c r="Y188" s="2"/>
      <c r="Z188" s="6">
        <f t="shared" si="35"/>
        <v>-7.5181348432221601E-2</v>
      </c>
    </row>
    <row r="189" spans="1:26" s="69" customFormat="1" ht="15" hidden="1" customHeight="1" outlineLevel="2" x14ac:dyDescent="0.3">
      <c r="A189" s="26"/>
      <c r="B189" s="12" t="str">
        <f>CONCATENATE("          ","6371"," - ","COMPUTER SOFTWARE MAINTENANCE")</f>
        <v xml:space="preserve">          6371 - COMPUTER SOFTWARE MAINTENANCE</v>
      </c>
      <c r="C189" s="12"/>
      <c r="D189" s="8"/>
      <c r="E189" s="3"/>
      <c r="F189" s="7">
        <f t="shared" si="28"/>
        <v>0</v>
      </c>
      <c r="G189" s="3"/>
      <c r="H189" s="8">
        <v>1331.25</v>
      </c>
      <c r="I189" s="3"/>
      <c r="J189" s="7">
        <f t="shared" si="29"/>
        <v>6.5587169597704923E-3</v>
      </c>
      <c r="K189" s="3"/>
      <c r="L189" s="8">
        <f t="shared" si="30"/>
        <v>-1331.25</v>
      </c>
      <c r="M189" s="3"/>
      <c r="N189" s="7">
        <f t="shared" si="31"/>
        <v>-1</v>
      </c>
      <c r="O189" s="12"/>
      <c r="P189" s="8">
        <v>62511</v>
      </c>
      <c r="Q189" s="3"/>
      <c r="R189" s="7">
        <f t="shared" si="32"/>
        <v>1.1639790768211219E-2</v>
      </c>
      <c r="S189" s="3"/>
      <c r="T189" s="8">
        <v>59767.72</v>
      </c>
      <c r="U189" s="3"/>
      <c r="V189" s="7">
        <f t="shared" si="33"/>
        <v>1.4638191156455855E-2</v>
      </c>
      <c r="W189" s="3"/>
      <c r="X189" s="8">
        <f t="shared" si="34"/>
        <v>2743.2799999999988</v>
      </c>
      <c r="Y189" s="3"/>
      <c r="Z189" s="7">
        <f t="shared" si="35"/>
        <v>4.5899023753959475E-2</v>
      </c>
    </row>
    <row r="190" spans="1:26" s="69" customFormat="1" ht="15" hidden="1" customHeight="1" outlineLevel="2" x14ac:dyDescent="0.3">
      <c r="A190" s="26"/>
      <c r="B190" s="12" t="str">
        <f>CONCATENATE("          ","6372"," - ","COMPUTER HARDWARE MAINTENANCE")</f>
        <v xml:space="preserve">          6372 - COMPUTER HARDWARE MAINTENANCE</v>
      </c>
      <c r="C190" s="12"/>
      <c r="D190" s="8"/>
      <c r="E190" s="3"/>
      <c r="F190" s="7">
        <f t="shared" si="28"/>
        <v>0</v>
      </c>
      <c r="G190" s="3"/>
      <c r="H190" s="8">
        <v>-1.1499999999999999</v>
      </c>
      <c r="I190" s="3"/>
      <c r="J190" s="7">
        <f t="shared" si="29"/>
        <v>-5.6657461060928187E-6</v>
      </c>
      <c r="K190" s="3"/>
      <c r="L190" s="8">
        <f t="shared" si="30"/>
        <v>1.1499999999999999</v>
      </c>
      <c r="M190" s="3"/>
      <c r="N190" s="7">
        <f t="shared" si="31"/>
        <v>-1</v>
      </c>
      <c r="O190" s="12"/>
      <c r="P190" s="8"/>
      <c r="Q190" s="3"/>
      <c r="R190" s="7">
        <f t="shared" si="32"/>
        <v>0</v>
      </c>
      <c r="S190" s="3"/>
      <c r="T190" s="8">
        <v>-1.1499999999999999</v>
      </c>
      <c r="U190" s="3"/>
      <c r="V190" s="7">
        <f t="shared" si="33"/>
        <v>-2.8165571365152012E-7</v>
      </c>
      <c r="W190" s="3"/>
      <c r="X190" s="8">
        <f t="shared" si="34"/>
        <v>1.1499999999999999</v>
      </c>
      <c r="Y190" s="3"/>
      <c r="Z190" s="7">
        <f t="shared" si="35"/>
        <v>-1</v>
      </c>
    </row>
    <row r="191" spans="1:26" s="69" customFormat="1" ht="15" hidden="1" customHeight="1" outlineLevel="2" x14ac:dyDescent="0.3">
      <c r="A191" s="26"/>
      <c r="B191" s="12" t="str">
        <f>CONCATENATE("          ","6373"," - ","MAINTENANCE CONTRACTS")</f>
        <v xml:space="preserve">          6373 - MAINTENANCE CONTRACTS</v>
      </c>
      <c r="C191" s="12"/>
      <c r="D191" s="8">
        <v>1904.31</v>
      </c>
      <c r="E191" s="3"/>
      <c r="F191" s="7">
        <f t="shared" si="28"/>
        <v>2.1825106619034248E-3</v>
      </c>
      <c r="G191" s="3"/>
      <c r="H191" s="8">
        <v>3372.5</v>
      </c>
      <c r="I191" s="3"/>
      <c r="J191" s="7">
        <f t="shared" si="29"/>
        <v>1.6615416298085248E-2</v>
      </c>
      <c r="K191" s="3"/>
      <c r="L191" s="8">
        <f t="shared" si="30"/>
        <v>-1468.19</v>
      </c>
      <c r="M191" s="3"/>
      <c r="N191" s="7">
        <f t="shared" si="31"/>
        <v>-0.43534173461823572</v>
      </c>
      <c r="O191" s="12"/>
      <c r="P191" s="8">
        <v>18716.5</v>
      </c>
      <c r="Q191" s="3"/>
      <c r="R191" s="7">
        <f t="shared" si="32"/>
        <v>3.4850849276643358E-3</v>
      </c>
      <c r="S191" s="3"/>
      <c r="T191" s="8">
        <v>44383.28</v>
      </c>
      <c r="U191" s="3"/>
      <c r="V191" s="7">
        <f t="shared" si="33"/>
        <v>1.0870264697908905E-2</v>
      </c>
      <c r="W191" s="3"/>
      <c r="X191" s="8">
        <f t="shared" si="34"/>
        <v>-25666.78</v>
      </c>
      <c r="Y191" s="3"/>
      <c r="Z191" s="7">
        <f t="shared" si="35"/>
        <v>-0.57829840426394807</v>
      </c>
    </row>
    <row r="192" spans="1:26" s="69" customFormat="1" ht="15" hidden="1" customHeight="1" outlineLevel="2" x14ac:dyDescent="0.3">
      <c r="A192" s="26"/>
      <c r="B192" s="12" t="str">
        <f>CONCATENATE("          ","6375"," - ","OUTSIDE REPAIRS &amp; MAINTENANCE")</f>
        <v xml:space="preserve">          6375 - OUTSIDE REPAIRS &amp; MAINTENANCE</v>
      </c>
      <c r="C192" s="12"/>
      <c r="D192" s="8">
        <v>6842.83</v>
      </c>
      <c r="E192" s="3"/>
      <c r="F192" s="7">
        <f t="shared" si="28"/>
        <v>7.8424990850190432E-3</v>
      </c>
      <c r="G192" s="3"/>
      <c r="H192" s="8">
        <v>11534.48</v>
      </c>
      <c r="I192" s="3"/>
      <c r="J192" s="7">
        <f t="shared" si="29"/>
        <v>5.6827334909396086E-2</v>
      </c>
      <c r="K192" s="3"/>
      <c r="L192" s="8">
        <f t="shared" si="30"/>
        <v>-4691.6499999999996</v>
      </c>
      <c r="M192" s="3"/>
      <c r="N192" s="7">
        <f t="shared" si="31"/>
        <v>-0.40675002254111148</v>
      </c>
      <c r="O192" s="12"/>
      <c r="P192" s="8">
        <v>40253.21</v>
      </c>
      <c r="Q192" s="3"/>
      <c r="R192" s="7">
        <f t="shared" si="32"/>
        <v>7.4953039008953228E-3</v>
      </c>
      <c r="S192" s="3"/>
      <c r="T192" s="8">
        <v>27206.400000000001</v>
      </c>
      <c r="U192" s="3"/>
      <c r="V192" s="7">
        <f t="shared" si="33"/>
        <v>6.6633373981641025E-3</v>
      </c>
      <c r="W192" s="3"/>
      <c r="X192" s="8">
        <f t="shared" si="34"/>
        <v>13046.809999999998</v>
      </c>
      <c r="Y192" s="3"/>
      <c r="Z192" s="7">
        <f t="shared" si="35"/>
        <v>0.47954929722418244</v>
      </c>
    </row>
    <row r="193" spans="1:26" s="68" customFormat="1" ht="15" customHeight="1" outlineLevel="1" collapsed="1" x14ac:dyDescent="0.3">
      <c r="A193" s="25"/>
      <c r="B193" s="14" t="str">
        <f>CONCATENATE("     ","Royalty &amp; Commissions                             ")</f>
        <v xml:space="preserve">     Royalty &amp; Commissions                             </v>
      </c>
      <c r="C193" s="14"/>
      <c r="D193" s="2">
        <f>SUM(OSRRefD22_18x_0)</f>
        <v>4782.3600000000006</v>
      </c>
      <c r="E193" s="2"/>
      <c r="F193" s="6">
        <f t="shared" si="28"/>
        <v>5.4810150075672893E-3</v>
      </c>
      <c r="G193" s="2"/>
      <c r="H193" s="2">
        <f>SUM(OSRRefH22_18x_0)</f>
        <v>468.34</v>
      </c>
      <c r="I193" s="2"/>
      <c r="J193" s="6">
        <f t="shared" si="29"/>
        <v>2.3073874185456618E-3</v>
      </c>
      <c r="K193" s="2"/>
      <c r="L193" s="2">
        <f t="shared" si="30"/>
        <v>4314.0200000000004</v>
      </c>
      <c r="M193" s="2"/>
      <c r="N193" s="6">
        <f t="shared" si="31"/>
        <v>9.2112994832813779</v>
      </c>
      <c r="O193" s="14"/>
      <c r="P193" s="2">
        <f>SUM(OSRRefP22_18x_0)</f>
        <v>50233.790000000008</v>
      </c>
      <c r="Q193" s="2"/>
      <c r="R193" s="6">
        <f t="shared" si="32"/>
        <v>9.3537266256220695E-3</v>
      </c>
      <c r="S193" s="2"/>
      <c r="T193" s="2">
        <f>SUM(OSRRefT22_18x_0)</f>
        <v>37019.69</v>
      </c>
      <c r="U193" s="2"/>
      <c r="V193" s="6">
        <f t="shared" si="33"/>
        <v>9.0667888748765593E-3</v>
      </c>
      <c r="W193" s="2"/>
      <c r="X193" s="2">
        <f t="shared" si="34"/>
        <v>13214.100000000006</v>
      </c>
      <c r="Y193" s="2"/>
      <c r="Z193" s="6">
        <f t="shared" si="35"/>
        <v>0.35694788368027947</v>
      </c>
    </row>
    <row r="194" spans="1:26" s="69" customFormat="1" ht="15" hidden="1" customHeight="1" outlineLevel="2" x14ac:dyDescent="0.3">
      <c r="A194" s="26"/>
      <c r="B194" s="12" t="str">
        <f>CONCATENATE("          ","6253"," - ","ROYALTY DUE ATHLETICS-LRG")</f>
        <v xml:space="preserve">          6253 - ROYALTY DUE ATHLETICS-LRG</v>
      </c>
      <c r="C194" s="12"/>
      <c r="D194" s="8"/>
      <c r="E194" s="3"/>
      <c r="F194" s="7">
        <f t="shared" si="28"/>
        <v>0</v>
      </c>
      <c r="G194" s="3"/>
      <c r="H194" s="8"/>
      <c r="I194" s="3"/>
      <c r="J194" s="7">
        <f t="shared" si="29"/>
        <v>0</v>
      </c>
      <c r="K194" s="3"/>
      <c r="L194" s="8">
        <f t="shared" si="30"/>
        <v>0</v>
      </c>
      <c r="M194" s="3"/>
      <c r="N194" s="7">
        <f t="shared" si="31"/>
        <v>0</v>
      </c>
      <c r="O194" s="12"/>
      <c r="P194" s="8">
        <v>39221.160000000003</v>
      </c>
      <c r="Q194" s="3"/>
      <c r="R194" s="7">
        <f t="shared" si="32"/>
        <v>7.3031321861198057E-3</v>
      </c>
      <c r="S194" s="3"/>
      <c r="T194" s="8">
        <v>26197.58</v>
      </c>
      <c r="U194" s="3"/>
      <c r="V194" s="7">
        <f t="shared" si="33"/>
        <v>6.4162592094285141E-3</v>
      </c>
      <c r="W194" s="3"/>
      <c r="X194" s="8">
        <f t="shared" si="34"/>
        <v>13023.580000000002</v>
      </c>
      <c r="Y194" s="3"/>
      <c r="Z194" s="7">
        <f t="shared" si="35"/>
        <v>0.49712912414047405</v>
      </c>
    </row>
    <row r="195" spans="1:26" s="69" customFormat="1" ht="15" hidden="1" customHeight="1" outlineLevel="2" x14ac:dyDescent="0.3">
      <c r="A195" s="26"/>
      <c r="B195" s="12" t="str">
        <f>CONCATENATE("          ","6254"," - ","ROYALTY &amp; COMMISSIONS")</f>
        <v xml:space="preserve">          6254 - ROYALTY &amp; COMMISSIONS</v>
      </c>
      <c r="C195" s="12"/>
      <c r="D195" s="8">
        <v>3147.46</v>
      </c>
      <c r="E195" s="3"/>
      <c r="F195" s="7">
        <f t="shared" si="28"/>
        <v>3.6072724545449819E-3</v>
      </c>
      <c r="G195" s="3"/>
      <c r="H195" s="8"/>
      <c r="I195" s="3"/>
      <c r="J195" s="7">
        <f t="shared" si="29"/>
        <v>0</v>
      </c>
      <c r="K195" s="3"/>
      <c r="L195" s="8">
        <f t="shared" si="30"/>
        <v>3147.46</v>
      </c>
      <c r="M195" s="3"/>
      <c r="N195" s="7">
        <f t="shared" si="31"/>
        <v>0</v>
      </c>
      <c r="O195" s="12"/>
      <c r="P195" s="8">
        <v>3509.15</v>
      </c>
      <c r="Q195" s="3"/>
      <c r="R195" s="7">
        <f t="shared" si="32"/>
        <v>6.5341734693523379E-4</v>
      </c>
      <c r="S195" s="3"/>
      <c r="T195" s="8">
        <v>185.7</v>
      </c>
      <c r="U195" s="3"/>
      <c r="V195" s="7">
        <f t="shared" si="33"/>
        <v>4.5481274804423724E-5</v>
      </c>
      <c r="W195" s="3"/>
      <c r="X195" s="8">
        <f t="shared" si="34"/>
        <v>3323.4500000000003</v>
      </c>
      <c r="Y195" s="3"/>
      <c r="Z195" s="7">
        <f t="shared" si="35"/>
        <v>17.896876682821759</v>
      </c>
    </row>
    <row r="196" spans="1:26" s="69" customFormat="1" ht="15" hidden="1" customHeight="1" outlineLevel="2" x14ac:dyDescent="0.3">
      <c r="A196" s="26"/>
      <c r="B196" s="12" t="str">
        <f>CONCATENATE("          ","6259"," - ","ROYALTY &amp; COMMISSIONS")</f>
        <v xml:space="preserve">          6259 - ROYALTY &amp; COMMISSIONS</v>
      </c>
      <c r="C196" s="12"/>
      <c r="D196" s="8">
        <v>1634.9</v>
      </c>
      <c r="E196" s="3"/>
      <c r="F196" s="7">
        <f t="shared" si="28"/>
        <v>1.8737425530223073E-3</v>
      </c>
      <c r="G196" s="3"/>
      <c r="H196" s="8">
        <v>468.34</v>
      </c>
      <c r="I196" s="3"/>
      <c r="J196" s="7">
        <f t="shared" si="29"/>
        <v>2.3073874185456618E-3</v>
      </c>
      <c r="K196" s="3"/>
      <c r="L196" s="8">
        <f t="shared" si="30"/>
        <v>1166.5600000000002</v>
      </c>
      <c r="M196" s="3"/>
      <c r="N196" s="7">
        <f t="shared" si="31"/>
        <v>2.4908399880428753</v>
      </c>
      <c r="O196" s="12"/>
      <c r="P196" s="8">
        <v>7503.48</v>
      </c>
      <c r="Q196" s="3"/>
      <c r="R196" s="7">
        <f t="shared" si="32"/>
        <v>1.3971770925670284E-3</v>
      </c>
      <c r="S196" s="3"/>
      <c r="T196" s="8">
        <v>10636.41</v>
      </c>
      <c r="U196" s="3"/>
      <c r="V196" s="7">
        <f t="shared" si="33"/>
        <v>2.605048390643622E-3</v>
      </c>
      <c r="W196" s="3"/>
      <c r="X196" s="8">
        <f t="shared" si="34"/>
        <v>-3132.9300000000003</v>
      </c>
      <c r="Y196" s="3"/>
      <c r="Z196" s="7">
        <f t="shared" si="35"/>
        <v>-0.29454769043314427</v>
      </c>
    </row>
    <row r="197" spans="1:26" s="68" customFormat="1" ht="15" customHeight="1" outlineLevel="1" collapsed="1" x14ac:dyDescent="0.3">
      <c r="A197" s="25"/>
      <c r="B197" s="14" t="str">
        <f>CONCATENATE("     ","Services                                          ")</f>
        <v xml:space="preserve">     Services                                          </v>
      </c>
      <c r="C197" s="14"/>
      <c r="D197" s="2">
        <f>SUM(OSRRefD22_19x_0)</f>
        <v>7613.38</v>
      </c>
      <c r="E197" s="2"/>
      <c r="F197" s="6">
        <f t="shared" ref="F197:F224" si="36">IF(D$12=0,0,D197/D$12)</f>
        <v>8.725618740185315E-3</v>
      </c>
      <c r="G197" s="2"/>
      <c r="H197" s="2">
        <f>SUM(OSRRefH22_19x_0)</f>
        <v>4363.5</v>
      </c>
      <c r="I197" s="2"/>
      <c r="J197" s="6">
        <f t="shared" ref="J197:J224" si="37">IF(H$12=0,0,H197/H$12)</f>
        <v>2.1497811420813927E-2</v>
      </c>
      <c r="K197" s="2"/>
      <c r="L197" s="2">
        <f t="shared" ref="L197:L224" si="38">+D197-H197</f>
        <v>3249.88</v>
      </c>
      <c r="M197" s="2"/>
      <c r="N197" s="6">
        <f t="shared" ref="N197:N224" si="39">IF(H197=0,0,L197/H197)</f>
        <v>0.74478744127420649</v>
      </c>
      <c r="O197" s="14"/>
      <c r="P197" s="2">
        <f>SUM(OSRRefP22_19x_0)</f>
        <v>57926.630000000005</v>
      </c>
      <c r="Q197" s="2"/>
      <c r="R197" s="6">
        <f t="shared" ref="R197:R224" si="40">IF(P$12=0,0,P197/P$12)</f>
        <v>1.0786163284983236E-2</v>
      </c>
      <c r="S197" s="2"/>
      <c r="T197" s="2">
        <f>SUM(OSRRefT22_19x_0)</f>
        <v>30507.040000000001</v>
      </c>
      <c r="U197" s="2"/>
      <c r="V197" s="6">
        <f t="shared" ref="V197:V224" si="41">IF(T$12=0,0,T197/T$12)</f>
        <v>7.4717235848656268E-3</v>
      </c>
      <c r="W197" s="2"/>
      <c r="X197" s="2">
        <f t="shared" ref="X197:X224" si="42">+P197-T197</f>
        <v>27419.590000000004</v>
      </c>
      <c r="Y197" s="2"/>
      <c r="Z197" s="6">
        <f t="shared" ref="Z197:Z224" si="43">IF(T197=0,0,X197/T197)</f>
        <v>0.89879549113909452</v>
      </c>
    </row>
    <row r="198" spans="1:26" s="69" customFormat="1" ht="15" hidden="1" customHeight="1" outlineLevel="2" x14ac:dyDescent="0.3">
      <c r="A198" s="26"/>
      <c r="B198" s="12" t="str">
        <f>CONCATENATE("          ","6282"," - ","JANITORIAL/EXTERMINATOR EXPENS")</f>
        <v xml:space="preserve">          6282 - JANITORIAL/EXTERMINATOR EXPENS</v>
      </c>
      <c r="C198" s="12"/>
      <c r="D198" s="8">
        <v>670.55</v>
      </c>
      <c r="E198" s="3"/>
      <c r="F198" s="7">
        <f t="shared" si="36"/>
        <v>7.6851065443091801E-4</v>
      </c>
      <c r="G198" s="3"/>
      <c r="H198" s="8">
        <v>141.93</v>
      </c>
      <c r="I198" s="3"/>
      <c r="J198" s="7">
        <f t="shared" si="37"/>
        <v>6.9925160420674249E-4</v>
      </c>
      <c r="K198" s="3"/>
      <c r="L198" s="8">
        <f t="shared" si="38"/>
        <v>528.61999999999989</v>
      </c>
      <c r="M198" s="3"/>
      <c r="N198" s="7">
        <f t="shared" si="39"/>
        <v>3.7245120834214038</v>
      </c>
      <c r="O198" s="12"/>
      <c r="P198" s="8">
        <v>4937.58</v>
      </c>
      <c r="Q198" s="3"/>
      <c r="R198" s="7">
        <f t="shared" si="40"/>
        <v>9.1939655582704406E-4</v>
      </c>
      <c r="S198" s="3"/>
      <c r="T198" s="8">
        <v>8446.8700000000008</v>
      </c>
      <c r="U198" s="3"/>
      <c r="V198" s="7">
        <f t="shared" si="41"/>
        <v>2.0687906069318399E-3</v>
      </c>
      <c r="W198" s="3"/>
      <c r="X198" s="8">
        <f t="shared" si="42"/>
        <v>-3509.2900000000009</v>
      </c>
      <c r="Y198" s="3"/>
      <c r="Z198" s="7">
        <f t="shared" si="43"/>
        <v>-0.41545448195603824</v>
      </c>
    </row>
    <row r="199" spans="1:26" s="69" customFormat="1" ht="15" hidden="1" customHeight="1" outlineLevel="2" x14ac:dyDescent="0.3">
      <c r="A199" s="26"/>
      <c r="B199" s="12" t="str">
        <f>CONCATENATE("          ","6283"," - ","PLANT SERVICE")</f>
        <v xml:space="preserve">          6283 - PLANT SERVICE</v>
      </c>
      <c r="C199" s="12"/>
      <c r="D199" s="8"/>
      <c r="E199" s="3"/>
      <c r="F199" s="7">
        <f t="shared" si="36"/>
        <v>0</v>
      </c>
      <c r="G199" s="3"/>
      <c r="H199" s="8"/>
      <c r="I199" s="3"/>
      <c r="J199" s="7">
        <f t="shared" si="37"/>
        <v>0</v>
      </c>
      <c r="K199" s="3"/>
      <c r="L199" s="8">
        <f t="shared" si="38"/>
        <v>0</v>
      </c>
      <c r="M199" s="3"/>
      <c r="N199" s="7">
        <f t="shared" si="39"/>
        <v>0</v>
      </c>
      <c r="O199" s="12"/>
      <c r="P199" s="8"/>
      <c r="Q199" s="3"/>
      <c r="R199" s="7">
        <f t="shared" si="40"/>
        <v>0</v>
      </c>
      <c r="S199" s="3"/>
      <c r="T199" s="8">
        <v>171.31</v>
      </c>
      <c r="U199" s="3"/>
      <c r="V199" s="7">
        <f t="shared" si="41"/>
        <v>4.1956904613601667E-5</v>
      </c>
      <c r="W199" s="3"/>
      <c r="X199" s="8">
        <f t="shared" si="42"/>
        <v>-171.31</v>
      </c>
      <c r="Y199" s="3"/>
      <c r="Z199" s="7">
        <f t="shared" si="43"/>
        <v>-1</v>
      </c>
    </row>
    <row r="200" spans="1:26" s="69" customFormat="1" ht="15" hidden="1" customHeight="1" outlineLevel="2" x14ac:dyDescent="0.3">
      <c r="A200" s="26"/>
      <c r="B200" s="12" t="str">
        <f>CONCATENATE("          ","6284"," - ","TRASH REMOVAL EXPENSE")</f>
        <v xml:space="preserve">          6284 - TRASH REMOVAL EXPENSE</v>
      </c>
      <c r="C200" s="12"/>
      <c r="D200" s="8">
        <v>149.69999999999999</v>
      </c>
      <c r="E200" s="3"/>
      <c r="F200" s="7">
        <f t="shared" si="36"/>
        <v>1.7156967410082534E-4</v>
      </c>
      <c r="G200" s="3"/>
      <c r="H200" s="8">
        <v>431.57</v>
      </c>
      <c r="I200" s="3"/>
      <c r="J200" s="7">
        <f t="shared" si="37"/>
        <v>2.1262313452230243E-3</v>
      </c>
      <c r="K200" s="3"/>
      <c r="L200" s="8">
        <f t="shared" si="38"/>
        <v>-281.87</v>
      </c>
      <c r="M200" s="3"/>
      <c r="N200" s="7">
        <f t="shared" si="39"/>
        <v>-0.65312695507101981</v>
      </c>
      <c r="O200" s="12"/>
      <c r="P200" s="8">
        <v>1190.47</v>
      </c>
      <c r="Q200" s="3"/>
      <c r="R200" s="7">
        <f t="shared" si="40"/>
        <v>2.2167013350982083E-4</v>
      </c>
      <c r="S200" s="3"/>
      <c r="T200" s="8">
        <v>2311.58</v>
      </c>
      <c r="U200" s="3"/>
      <c r="V200" s="7">
        <f t="shared" si="41"/>
        <v>5.6614757788050508E-4</v>
      </c>
      <c r="W200" s="3"/>
      <c r="X200" s="8">
        <f t="shared" si="42"/>
        <v>-1121.1099999999999</v>
      </c>
      <c r="Y200" s="3"/>
      <c r="Z200" s="7">
        <f t="shared" si="43"/>
        <v>-0.48499727459140496</v>
      </c>
    </row>
    <row r="201" spans="1:26" s="69" customFormat="1" ht="15" hidden="1" customHeight="1" outlineLevel="2" x14ac:dyDescent="0.3">
      <c r="A201" s="26"/>
      <c r="B201" s="12" t="str">
        <f>CONCATENATE("          ","6285"," - ","JANITORIAL SERVICES")</f>
        <v xml:space="preserve">          6285 - JANITORIAL SERVICES</v>
      </c>
      <c r="C201" s="12"/>
      <c r="D201" s="8">
        <v>6736.05</v>
      </c>
      <c r="E201" s="3"/>
      <c r="F201" s="7">
        <f t="shared" si="36"/>
        <v>7.7201195940338318E-3</v>
      </c>
      <c r="G201" s="3"/>
      <c r="H201" s="8">
        <v>3790</v>
      </c>
      <c r="I201" s="3"/>
      <c r="J201" s="7">
        <f t="shared" si="37"/>
        <v>1.8672328471384163E-2</v>
      </c>
      <c r="K201" s="3"/>
      <c r="L201" s="8">
        <f t="shared" si="38"/>
        <v>2946.05</v>
      </c>
      <c r="M201" s="3"/>
      <c r="N201" s="7">
        <f t="shared" si="39"/>
        <v>0.77732189973614785</v>
      </c>
      <c r="O201" s="12"/>
      <c r="P201" s="8">
        <v>51201.54</v>
      </c>
      <c r="Q201" s="3"/>
      <c r="R201" s="7">
        <f t="shared" si="40"/>
        <v>9.5339254308873227E-3</v>
      </c>
      <c r="S201" s="3"/>
      <c r="T201" s="8">
        <v>19577.28</v>
      </c>
      <c r="U201" s="3"/>
      <c r="V201" s="7">
        <f t="shared" si="41"/>
        <v>4.7948284954396798E-3</v>
      </c>
      <c r="W201" s="3"/>
      <c r="X201" s="8">
        <f t="shared" si="42"/>
        <v>31624.260000000002</v>
      </c>
      <c r="Y201" s="3"/>
      <c r="Z201" s="7">
        <f t="shared" si="43"/>
        <v>1.6153551463737559</v>
      </c>
    </row>
    <row r="202" spans="1:26" s="69" customFormat="1" ht="15" hidden="1" customHeight="1" outlineLevel="2" x14ac:dyDescent="0.3">
      <c r="A202" s="26"/>
      <c r="B202" s="12" t="str">
        <f>CONCATENATE("          ","6286"," - ","LAUNDRY EXPENSE")</f>
        <v xml:space="preserve">          6286 - LAUNDRY EXPENSE</v>
      </c>
      <c r="C202" s="12"/>
      <c r="D202" s="8">
        <v>57.08</v>
      </c>
      <c r="E202" s="3"/>
      <c r="F202" s="7">
        <f t="shared" si="36"/>
        <v>6.5418817619740225E-5</v>
      </c>
      <c r="G202" s="3"/>
      <c r="H202" s="8"/>
      <c r="I202" s="3"/>
      <c r="J202" s="7">
        <f t="shared" si="37"/>
        <v>0</v>
      </c>
      <c r="K202" s="3"/>
      <c r="L202" s="8">
        <f t="shared" si="38"/>
        <v>57.08</v>
      </c>
      <c r="M202" s="3"/>
      <c r="N202" s="7">
        <f t="shared" si="39"/>
        <v>0</v>
      </c>
      <c r="O202" s="12"/>
      <c r="P202" s="8">
        <v>597.04</v>
      </c>
      <c r="Q202" s="3"/>
      <c r="R202" s="7">
        <f t="shared" si="40"/>
        <v>1.1117116475904762E-4</v>
      </c>
      <c r="S202" s="3"/>
      <c r="T202" s="8"/>
      <c r="U202" s="3"/>
      <c r="V202" s="7">
        <f t="shared" si="41"/>
        <v>0</v>
      </c>
      <c r="W202" s="3"/>
      <c r="X202" s="8">
        <f t="shared" si="42"/>
        <v>597.04</v>
      </c>
      <c r="Y202" s="3"/>
      <c r="Z202" s="7">
        <f t="shared" si="43"/>
        <v>0</v>
      </c>
    </row>
    <row r="203" spans="1:26" s="68" customFormat="1" ht="15" customHeight="1" outlineLevel="1" collapsed="1" x14ac:dyDescent="0.3">
      <c r="A203" s="25"/>
      <c r="B203" s="14" t="str">
        <f>CONCATENATE("     ","Subscriptions &amp; Dues                              ")</f>
        <v xml:space="preserve">     Subscriptions &amp; Dues                              </v>
      </c>
      <c r="C203" s="14"/>
      <c r="D203" s="2">
        <f>SUM(OSRRefD22_20x_0)</f>
        <v>176.99</v>
      </c>
      <c r="E203" s="2"/>
      <c r="F203" s="6">
        <f t="shared" si="36"/>
        <v>2.0284647040150355E-4</v>
      </c>
      <c r="G203" s="2"/>
      <c r="H203" s="2">
        <f>SUM(OSRRefH22_20x_0)</f>
        <v>181.41</v>
      </c>
      <c r="I203" s="2"/>
      <c r="J203" s="6">
        <f t="shared" si="37"/>
        <v>8.937591313967812E-4</v>
      </c>
      <c r="K203" s="2"/>
      <c r="L203" s="2">
        <f t="shared" si="38"/>
        <v>-4.4199999999999875</v>
      </c>
      <c r="M203" s="2"/>
      <c r="N203" s="6">
        <f t="shared" si="39"/>
        <v>-2.4364698748690742E-2</v>
      </c>
      <c r="O203" s="14"/>
      <c r="P203" s="2">
        <f>SUM(OSRRefP22_20x_0)</f>
        <v>1870.72</v>
      </c>
      <c r="Q203" s="2"/>
      <c r="R203" s="6">
        <f t="shared" si="40"/>
        <v>3.483353231576537E-4</v>
      </c>
      <c r="S203" s="2"/>
      <c r="T203" s="2">
        <f>SUM(OSRRefT22_20x_0)</f>
        <v>4026.54</v>
      </c>
      <c r="U203" s="2"/>
      <c r="V203" s="6">
        <f t="shared" si="41"/>
        <v>9.8617217151860163E-4</v>
      </c>
      <c r="W203" s="2"/>
      <c r="X203" s="2">
        <f t="shared" si="42"/>
        <v>-2155.8199999999997</v>
      </c>
      <c r="Y203" s="2"/>
      <c r="Z203" s="6">
        <f t="shared" si="43"/>
        <v>-0.53540260372428927</v>
      </c>
    </row>
    <row r="204" spans="1:26" s="69" customFormat="1" ht="15" hidden="1" customHeight="1" outlineLevel="2" x14ac:dyDescent="0.3">
      <c r="A204" s="26"/>
      <c r="B204" s="12" t="str">
        <f>CONCATENATE("          ","6258"," - ","MEMBERSHIP DUES")</f>
        <v xml:space="preserve">          6258 - MEMBERSHIP DUES</v>
      </c>
      <c r="C204" s="12"/>
      <c r="D204" s="8">
        <v>176.99</v>
      </c>
      <c r="E204" s="3"/>
      <c r="F204" s="7">
        <f t="shared" si="36"/>
        <v>2.0284647040150355E-4</v>
      </c>
      <c r="G204" s="3"/>
      <c r="H204" s="8">
        <v>181.41</v>
      </c>
      <c r="I204" s="3"/>
      <c r="J204" s="7">
        <f t="shared" si="37"/>
        <v>8.937591313967812E-4</v>
      </c>
      <c r="K204" s="3"/>
      <c r="L204" s="8">
        <f t="shared" si="38"/>
        <v>-4.4199999999999875</v>
      </c>
      <c r="M204" s="3"/>
      <c r="N204" s="7">
        <f t="shared" si="39"/>
        <v>-2.4364698748690742E-2</v>
      </c>
      <c r="O204" s="12"/>
      <c r="P204" s="8">
        <v>1870.72</v>
      </c>
      <c r="Q204" s="3"/>
      <c r="R204" s="7">
        <f t="shared" si="40"/>
        <v>3.483353231576537E-4</v>
      </c>
      <c r="S204" s="3"/>
      <c r="T204" s="8">
        <v>1873.73</v>
      </c>
      <c r="U204" s="3"/>
      <c r="V204" s="7">
        <f t="shared" si="41"/>
        <v>4.5891022638283726E-4</v>
      </c>
      <c r="W204" s="3"/>
      <c r="X204" s="8">
        <f t="shared" si="42"/>
        <v>-3.0099999999999909</v>
      </c>
      <c r="Y204" s="3"/>
      <c r="Z204" s="7">
        <f t="shared" si="43"/>
        <v>-1.6064214161058375E-3</v>
      </c>
    </row>
    <row r="205" spans="1:26" s="69" customFormat="1" ht="15" hidden="1" customHeight="1" outlineLevel="2" x14ac:dyDescent="0.3">
      <c r="A205" s="26"/>
      <c r="B205" s="12" t="str">
        <f>CONCATENATE("          ","6275"," - ","SUBSCRIPTIONS")</f>
        <v xml:space="preserve">          6275 - SUBSCRIPTIONS</v>
      </c>
      <c r="C205" s="12"/>
      <c r="D205" s="8"/>
      <c r="E205" s="3"/>
      <c r="F205" s="7">
        <f t="shared" si="36"/>
        <v>0</v>
      </c>
      <c r="G205" s="3"/>
      <c r="H205" s="8"/>
      <c r="I205" s="3"/>
      <c r="J205" s="7">
        <f t="shared" si="37"/>
        <v>0</v>
      </c>
      <c r="K205" s="3"/>
      <c r="L205" s="8">
        <f t="shared" si="38"/>
        <v>0</v>
      </c>
      <c r="M205" s="3"/>
      <c r="N205" s="7">
        <f t="shared" si="39"/>
        <v>0</v>
      </c>
      <c r="O205" s="12"/>
      <c r="P205" s="8"/>
      <c r="Q205" s="3"/>
      <c r="R205" s="7">
        <f t="shared" si="40"/>
        <v>0</v>
      </c>
      <c r="S205" s="3"/>
      <c r="T205" s="8">
        <v>2152.81</v>
      </c>
      <c r="U205" s="3"/>
      <c r="V205" s="7">
        <f t="shared" si="41"/>
        <v>5.2726194513576436E-4</v>
      </c>
      <c r="W205" s="3"/>
      <c r="X205" s="8">
        <f t="shared" si="42"/>
        <v>-2152.81</v>
      </c>
      <c r="Y205" s="3"/>
      <c r="Z205" s="7">
        <f t="shared" si="43"/>
        <v>-1</v>
      </c>
    </row>
    <row r="206" spans="1:26" s="68" customFormat="1" ht="15" customHeight="1" outlineLevel="1" collapsed="1" x14ac:dyDescent="0.3">
      <c r="A206" s="25"/>
      <c r="B206" s="14" t="str">
        <f>CONCATENATE("     ","Supplies                                          ")</f>
        <v xml:space="preserve">     Supplies                                          </v>
      </c>
      <c r="C206" s="14"/>
      <c r="D206" s="2">
        <f>SUM(OSRRefD22_21x_0)</f>
        <v>20882.080000000002</v>
      </c>
      <c r="E206" s="2"/>
      <c r="F206" s="6">
        <f t="shared" si="36"/>
        <v>2.3932743220757269E-2</v>
      </c>
      <c r="G206" s="2"/>
      <c r="H206" s="2">
        <f>SUM(OSRRefH22_21x_0)</f>
        <v>7904.01</v>
      </c>
      <c r="I206" s="2"/>
      <c r="J206" s="6">
        <f t="shared" si="37"/>
        <v>3.8940968591320617E-2</v>
      </c>
      <c r="K206" s="2"/>
      <c r="L206" s="2">
        <f t="shared" si="38"/>
        <v>12978.070000000002</v>
      </c>
      <c r="M206" s="2"/>
      <c r="N206" s="6">
        <f t="shared" si="39"/>
        <v>1.6419602201920294</v>
      </c>
      <c r="O206" s="14"/>
      <c r="P206" s="2">
        <f>SUM(OSRRefP22_21x_0)</f>
        <v>80622.2</v>
      </c>
      <c r="Q206" s="2"/>
      <c r="R206" s="6">
        <f t="shared" si="40"/>
        <v>1.5012166487064334E-2</v>
      </c>
      <c r="S206" s="2"/>
      <c r="T206" s="2">
        <f>SUM(OSRRefT22_21x_0)</f>
        <v>100000.70000000001</v>
      </c>
      <c r="U206" s="2"/>
      <c r="V206" s="6">
        <f t="shared" si="41"/>
        <v>2.4491972629697021E-2</v>
      </c>
      <c r="W206" s="2"/>
      <c r="X206" s="2">
        <f t="shared" si="42"/>
        <v>-19378.500000000015</v>
      </c>
      <c r="Y206" s="2"/>
      <c r="Z206" s="6">
        <f t="shared" si="43"/>
        <v>-0.19378364351449553</v>
      </c>
    </row>
    <row r="207" spans="1:26" s="69" customFormat="1" ht="15" hidden="1" customHeight="1" outlineLevel="2" x14ac:dyDescent="0.3">
      <c r="A207" s="26"/>
      <c r="B207" s="12" t="str">
        <f>CONCATENATE("          ","6234"," - ","EXPENDABLE SUPPLIES &amp; EQUIPMEN")</f>
        <v xml:space="preserve">          6234 - EXPENDABLE SUPPLIES &amp; EQUIPMEN</v>
      </c>
      <c r="C207" s="12"/>
      <c r="D207" s="8"/>
      <c r="E207" s="3"/>
      <c r="F207" s="7">
        <f t="shared" si="36"/>
        <v>0</v>
      </c>
      <c r="G207" s="3"/>
      <c r="H207" s="8"/>
      <c r="I207" s="3"/>
      <c r="J207" s="7">
        <f t="shared" si="37"/>
        <v>0</v>
      </c>
      <c r="K207" s="3"/>
      <c r="L207" s="8">
        <f t="shared" si="38"/>
        <v>0</v>
      </c>
      <c r="M207" s="3"/>
      <c r="N207" s="7">
        <f t="shared" si="39"/>
        <v>0</v>
      </c>
      <c r="O207" s="12"/>
      <c r="P207" s="8">
        <v>6484.46</v>
      </c>
      <c r="Q207" s="3"/>
      <c r="R207" s="7">
        <f t="shared" si="40"/>
        <v>1.2074316143532327E-3</v>
      </c>
      <c r="S207" s="3"/>
      <c r="T207" s="8">
        <v>263.83</v>
      </c>
      <c r="U207" s="3"/>
      <c r="V207" s="7">
        <f t="shared" si="41"/>
        <v>6.4616719071896136E-5</v>
      </c>
      <c r="W207" s="3"/>
      <c r="X207" s="8">
        <f t="shared" si="42"/>
        <v>6220.63</v>
      </c>
      <c r="Y207" s="3"/>
      <c r="Z207" s="7">
        <f t="shared" si="43"/>
        <v>23.578175340181179</v>
      </c>
    </row>
    <row r="208" spans="1:26" s="69" customFormat="1" ht="15" hidden="1" customHeight="1" outlineLevel="2" x14ac:dyDescent="0.3">
      <c r="A208" s="26"/>
      <c r="B208" s="12" t="str">
        <f>CONCATENATE("          ","6235"," - ","COVID-19 EXPENSES")</f>
        <v xml:space="preserve">          6235 - COVID-19 EXPENSES</v>
      </c>
      <c r="C208" s="12"/>
      <c r="D208" s="8"/>
      <c r="E208" s="3"/>
      <c r="F208" s="7">
        <f t="shared" si="36"/>
        <v>0</v>
      </c>
      <c r="G208" s="3"/>
      <c r="H208" s="8">
        <v>2992.14</v>
      </c>
      <c r="I208" s="3"/>
      <c r="J208" s="7">
        <f t="shared" si="37"/>
        <v>1.4741483090334408E-2</v>
      </c>
      <c r="K208" s="3"/>
      <c r="L208" s="8">
        <f t="shared" si="38"/>
        <v>-2992.14</v>
      </c>
      <c r="M208" s="3"/>
      <c r="N208" s="7">
        <f t="shared" si="39"/>
        <v>-1</v>
      </c>
      <c r="O208" s="12"/>
      <c r="P208" s="8">
        <v>3430.32</v>
      </c>
      <c r="Q208" s="3"/>
      <c r="R208" s="7">
        <f t="shared" si="40"/>
        <v>6.3873889504263747E-4</v>
      </c>
      <c r="S208" s="3"/>
      <c r="T208" s="8">
        <v>37498.44</v>
      </c>
      <c r="U208" s="3"/>
      <c r="V208" s="7">
        <f t="shared" si="41"/>
        <v>9.1840433730597474E-3</v>
      </c>
      <c r="W208" s="3"/>
      <c r="X208" s="8">
        <f t="shared" si="42"/>
        <v>-34068.120000000003</v>
      </c>
      <c r="Y208" s="3"/>
      <c r="Z208" s="7">
        <f t="shared" si="43"/>
        <v>-0.90852099447337009</v>
      </c>
    </row>
    <row r="209" spans="1:26" s="69" customFormat="1" ht="15" hidden="1" customHeight="1" outlineLevel="2" x14ac:dyDescent="0.3">
      <c r="A209" s="26"/>
      <c r="B209" s="12" t="str">
        <f>CONCATENATE("          ","6237"," - ","JANITORIAL SUPPLIES")</f>
        <v xml:space="preserve">          6237 - JANITORIAL SUPPLIES</v>
      </c>
      <c r="C209" s="12"/>
      <c r="D209" s="8">
        <v>31.68</v>
      </c>
      <c r="E209" s="3"/>
      <c r="F209" s="7">
        <f t="shared" si="36"/>
        <v>3.6308131432960237E-5</v>
      </c>
      <c r="G209" s="3"/>
      <c r="H209" s="8"/>
      <c r="I209" s="3"/>
      <c r="J209" s="7">
        <f t="shared" si="37"/>
        <v>0</v>
      </c>
      <c r="K209" s="3"/>
      <c r="L209" s="8">
        <f t="shared" si="38"/>
        <v>31.68</v>
      </c>
      <c r="M209" s="3"/>
      <c r="N209" s="7">
        <f t="shared" si="39"/>
        <v>0</v>
      </c>
      <c r="O209" s="12"/>
      <c r="P209" s="8">
        <v>5218.08</v>
      </c>
      <c r="Q209" s="3"/>
      <c r="R209" s="7">
        <f t="shared" si="40"/>
        <v>9.7162674428160798E-4</v>
      </c>
      <c r="S209" s="3"/>
      <c r="T209" s="8">
        <v>2581.2199999999998</v>
      </c>
      <c r="U209" s="3"/>
      <c r="V209" s="7">
        <f t="shared" si="41"/>
        <v>6.3218727060137105E-4</v>
      </c>
      <c r="W209" s="3"/>
      <c r="X209" s="8">
        <f t="shared" si="42"/>
        <v>2636.86</v>
      </c>
      <c r="Y209" s="3"/>
      <c r="Z209" s="7">
        <f t="shared" si="43"/>
        <v>1.0215556984681664</v>
      </c>
    </row>
    <row r="210" spans="1:26" s="69" customFormat="1" ht="15" hidden="1" customHeight="1" outlineLevel="2" x14ac:dyDescent="0.3">
      <c r="A210" s="26"/>
      <c r="B210" s="12" t="str">
        <f>CONCATENATE("          ","6241"," - ","OFFICE EXPENSE")</f>
        <v xml:space="preserve">          6241 - OFFICE EXPENSE</v>
      </c>
      <c r="C210" s="12"/>
      <c r="D210" s="8">
        <v>4103.2700000000004</v>
      </c>
      <c r="E210" s="3"/>
      <c r="F210" s="7">
        <f t="shared" si="36"/>
        <v>4.7027167444735722E-3</v>
      </c>
      <c r="G210" s="3"/>
      <c r="H210" s="8">
        <v>624.67999999999995</v>
      </c>
      <c r="I210" s="3"/>
      <c r="J210" s="7">
        <f t="shared" si="37"/>
        <v>3.0776332848296193E-3</v>
      </c>
      <c r="K210" s="3"/>
      <c r="L210" s="8">
        <f t="shared" si="38"/>
        <v>3478.5900000000006</v>
      </c>
      <c r="M210" s="3"/>
      <c r="N210" s="7">
        <f t="shared" si="39"/>
        <v>5.5685951207018007</v>
      </c>
      <c r="O210" s="12"/>
      <c r="P210" s="8">
        <v>13331.78</v>
      </c>
      <c r="Q210" s="3"/>
      <c r="R210" s="7">
        <f t="shared" si="40"/>
        <v>2.4824291687514672E-3</v>
      </c>
      <c r="S210" s="3"/>
      <c r="T210" s="8">
        <v>9987.85</v>
      </c>
      <c r="U210" s="3"/>
      <c r="V210" s="7">
        <f t="shared" si="41"/>
        <v>2.4462043648646394E-3</v>
      </c>
      <c r="W210" s="3"/>
      <c r="X210" s="8">
        <f t="shared" si="42"/>
        <v>3343.9300000000003</v>
      </c>
      <c r="Y210" s="3"/>
      <c r="Z210" s="7">
        <f t="shared" si="43"/>
        <v>0.33479978173480779</v>
      </c>
    </row>
    <row r="211" spans="1:26" s="69" customFormat="1" ht="15" hidden="1" customHeight="1" outlineLevel="2" x14ac:dyDescent="0.3">
      <c r="A211" s="26"/>
      <c r="B211" s="12" t="str">
        <f>CONCATENATE("          ","6243"," - ","PAPER SUPPLIES")</f>
        <v xml:space="preserve">          6243 - PAPER SUPPLIES</v>
      </c>
      <c r="C211" s="12"/>
      <c r="D211" s="8">
        <v>1072.69</v>
      </c>
      <c r="E211" s="3"/>
      <c r="F211" s="7">
        <f t="shared" si="36"/>
        <v>1.2293992899880719E-3</v>
      </c>
      <c r="G211" s="3"/>
      <c r="H211" s="8"/>
      <c r="I211" s="3"/>
      <c r="J211" s="7">
        <f t="shared" si="37"/>
        <v>0</v>
      </c>
      <c r="K211" s="3"/>
      <c r="L211" s="8">
        <f t="shared" si="38"/>
        <v>1072.69</v>
      </c>
      <c r="M211" s="3"/>
      <c r="N211" s="7">
        <f t="shared" si="39"/>
        <v>0</v>
      </c>
      <c r="O211" s="12"/>
      <c r="P211" s="8">
        <v>5666.31</v>
      </c>
      <c r="Q211" s="3"/>
      <c r="R211" s="7">
        <f t="shared" si="40"/>
        <v>1.0550889095970776E-3</v>
      </c>
      <c r="S211" s="3"/>
      <c r="T211" s="8">
        <v>6173.4</v>
      </c>
      <c r="U211" s="3"/>
      <c r="V211" s="7">
        <f t="shared" si="41"/>
        <v>1.5119768544837341E-3</v>
      </c>
      <c r="W211" s="3"/>
      <c r="X211" s="8">
        <f t="shared" si="42"/>
        <v>-507.08999999999924</v>
      </c>
      <c r="Y211" s="3"/>
      <c r="Z211" s="7">
        <f t="shared" si="43"/>
        <v>-8.2141121586159854E-2</v>
      </c>
    </row>
    <row r="212" spans="1:26" s="69" customFormat="1" ht="15" hidden="1" customHeight="1" outlineLevel="2" x14ac:dyDescent="0.3">
      <c r="A212" s="26"/>
      <c r="B212" s="12" t="str">
        <f>CONCATENATE("          ","6245"," - ","PRINTING")</f>
        <v xml:space="preserve">          6245 - PRINTING</v>
      </c>
      <c r="C212" s="12"/>
      <c r="D212" s="8">
        <v>502.78</v>
      </c>
      <c r="E212" s="3"/>
      <c r="F212" s="7">
        <f t="shared" si="36"/>
        <v>5.7623113389721425E-4</v>
      </c>
      <c r="G212" s="3"/>
      <c r="H212" s="8">
        <v>398.67</v>
      </c>
      <c r="I212" s="3"/>
      <c r="J212" s="7">
        <f t="shared" si="37"/>
        <v>1.9641417392313254E-3</v>
      </c>
      <c r="K212" s="3"/>
      <c r="L212" s="8">
        <f t="shared" si="38"/>
        <v>104.10999999999996</v>
      </c>
      <c r="M212" s="3"/>
      <c r="N212" s="7">
        <f t="shared" si="39"/>
        <v>0.26114330147741227</v>
      </c>
      <c r="O212" s="12"/>
      <c r="P212" s="8">
        <v>3304.52</v>
      </c>
      <c r="Q212" s="3"/>
      <c r="R212" s="7">
        <f t="shared" si="40"/>
        <v>6.1531444688725729E-4</v>
      </c>
      <c r="S212" s="3"/>
      <c r="T212" s="8">
        <v>906.94</v>
      </c>
      <c r="U212" s="3"/>
      <c r="V212" s="7">
        <f t="shared" si="41"/>
        <v>2.2212594168618234E-4</v>
      </c>
      <c r="W212" s="3"/>
      <c r="X212" s="8">
        <f t="shared" si="42"/>
        <v>2397.58</v>
      </c>
      <c r="Y212" s="3"/>
      <c r="Z212" s="7">
        <f t="shared" si="43"/>
        <v>2.6435927404238426</v>
      </c>
    </row>
    <row r="213" spans="1:26" s="69" customFormat="1" ht="15" hidden="1" customHeight="1" outlineLevel="2" x14ac:dyDescent="0.3">
      <c r="A213" s="26"/>
      <c r="B213" s="12" t="str">
        <f>CONCATENATE("          ","6247"," - ","STORE SUPPLIES")</f>
        <v xml:space="preserve">          6247 - STORE SUPPLIES</v>
      </c>
      <c r="C213" s="12"/>
      <c r="D213" s="8">
        <v>15171.66</v>
      </c>
      <c r="E213" s="3"/>
      <c r="F213" s="7">
        <f t="shared" si="36"/>
        <v>1.738808792096545E-2</v>
      </c>
      <c r="G213" s="3"/>
      <c r="H213" s="8">
        <v>3888.52</v>
      </c>
      <c r="I213" s="3"/>
      <c r="J213" s="7">
        <f t="shared" si="37"/>
        <v>1.9157710476925261E-2</v>
      </c>
      <c r="K213" s="3"/>
      <c r="L213" s="8">
        <f t="shared" si="38"/>
        <v>11283.14</v>
      </c>
      <c r="M213" s="3"/>
      <c r="N213" s="7">
        <f t="shared" si="39"/>
        <v>2.9016540997603202</v>
      </c>
      <c r="O213" s="12"/>
      <c r="P213" s="8">
        <v>43186.73</v>
      </c>
      <c r="Q213" s="3"/>
      <c r="R213" s="7">
        <f t="shared" si="40"/>
        <v>8.0415367081510536E-3</v>
      </c>
      <c r="S213" s="3"/>
      <c r="T213" s="8">
        <v>42589.02</v>
      </c>
      <c r="U213" s="3"/>
      <c r="V213" s="7">
        <f t="shared" si="41"/>
        <v>1.0430818105929445E-2</v>
      </c>
      <c r="W213" s="3"/>
      <c r="X213" s="8">
        <f t="shared" si="42"/>
        <v>597.7100000000064</v>
      </c>
      <c r="Y213" s="3"/>
      <c r="Z213" s="7">
        <f t="shared" si="43"/>
        <v>1.4034368482768714E-2</v>
      </c>
    </row>
    <row r="214" spans="1:26" s="68" customFormat="1" ht="15" customHeight="1" outlineLevel="1" collapsed="1" x14ac:dyDescent="0.3">
      <c r="A214" s="25"/>
      <c r="B214" s="14" t="str">
        <f>CONCATENATE("     ","Telephone/Data Lines                              ")</f>
        <v xml:space="preserve">     Telephone/Data Lines                              </v>
      </c>
      <c r="C214" s="14"/>
      <c r="D214" s="2">
        <f>SUM(OSRRefD22_22x_0)</f>
        <v>1861.64</v>
      </c>
      <c r="E214" s="2"/>
      <c r="F214" s="6">
        <f t="shared" si="36"/>
        <v>2.1336070012896494E-3</v>
      </c>
      <c r="G214" s="2"/>
      <c r="H214" s="2">
        <f>SUM(OSRRefH22_22x_0)</f>
        <v>1264.25</v>
      </c>
      <c r="I214" s="2"/>
      <c r="J214" s="6">
        <f t="shared" si="37"/>
        <v>6.2286256648937804E-3</v>
      </c>
      <c r="K214" s="2"/>
      <c r="L214" s="2">
        <f t="shared" si="38"/>
        <v>597.3900000000001</v>
      </c>
      <c r="M214" s="2"/>
      <c r="N214" s="6">
        <f t="shared" si="39"/>
        <v>0.47252521257662655</v>
      </c>
      <c r="O214" s="14"/>
      <c r="P214" s="2">
        <f>SUM(OSRRefP22_22x_0)</f>
        <v>15620.23</v>
      </c>
      <c r="Q214" s="2"/>
      <c r="R214" s="6">
        <f t="shared" si="40"/>
        <v>2.9085474388721336E-3</v>
      </c>
      <c r="S214" s="2"/>
      <c r="T214" s="2">
        <f>SUM(OSRRefT22_22x_0)</f>
        <v>21440.04</v>
      </c>
      <c r="U214" s="2"/>
      <c r="V214" s="6">
        <f t="shared" si="41"/>
        <v>5.2510519712322939E-3</v>
      </c>
      <c r="W214" s="2"/>
      <c r="X214" s="2">
        <f t="shared" si="42"/>
        <v>-5819.8100000000013</v>
      </c>
      <c r="Y214" s="2"/>
      <c r="Z214" s="6">
        <f t="shared" si="43"/>
        <v>-0.27144585551146366</v>
      </c>
    </row>
    <row r="215" spans="1:26" s="69" customFormat="1" ht="15" hidden="1" customHeight="1" outlineLevel="2" x14ac:dyDescent="0.3">
      <c r="A215" s="26"/>
      <c r="B215" s="12" t="str">
        <f>CONCATENATE("          ","6303"," - ","DATA PHONE LINES")</f>
        <v xml:space="preserve">          6303 - DATA PHONE LINES</v>
      </c>
      <c r="C215" s="12"/>
      <c r="D215" s="8"/>
      <c r="E215" s="3"/>
      <c r="F215" s="7">
        <f t="shared" si="36"/>
        <v>0</v>
      </c>
      <c r="G215" s="3"/>
      <c r="H215" s="8">
        <v>590</v>
      </c>
      <c r="I215" s="3"/>
      <c r="J215" s="7">
        <f t="shared" si="37"/>
        <v>2.9067740892128381E-3</v>
      </c>
      <c r="K215" s="3"/>
      <c r="L215" s="8">
        <f t="shared" si="38"/>
        <v>-590</v>
      </c>
      <c r="M215" s="3"/>
      <c r="N215" s="7">
        <f t="shared" si="39"/>
        <v>-1</v>
      </c>
      <c r="O215" s="12"/>
      <c r="P215" s="8">
        <v>295</v>
      </c>
      <c r="Q215" s="3"/>
      <c r="R215" s="7">
        <f t="shared" si="40"/>
        <v>5.4930144720486149E-5</v>
      </c>
      <c r="S215" s="3"/>
      <c r="T215" s="8">
        <v>2950</v>
      </c>
      <c r="U215" s="3"/>
      <c r="V215" s="7">
        <f t="shared" si="41"/>
        <v>7.2250813501911683E-4</v>
      </c>
      <c r="W215" s="3"/>
      <c r="X215" s="8">
        <f t="shared" si="42"/>
        <v>-2655</v>
      </c>
      <c r="Y215" s="3"/>
      <c r="Z215" s="7">
        <f t="shared" si="43"/>
        <v>-0.9</v>
      </c>
    </row>
    <row r="216" spans="1:26" s="69" customFormat="1" ht="15" hidden="1" customHeight="1" outlineLevel="2" x14ac:dyDescent="0.3">
      <c r="A216" s="26"/>
      <c r="B216" s="12" t="str">
        <f>CONCATENATE("          ","6309"," - ","TELEPHONE")</f>
        <v xml:space="preserve">          6309 - TELEPHONE</v>
      </c>
      <c r="C216" s="12"/>
      <c r="D216" s="8">
        <v>1861.64</v>
      </c>
      <c r="E216" s="3"/>
      <c r="F216" s="7">
        <f t="shared" si="36"/>
        <v>2.1336070012896494E-3</v>
      </c>
      <c r="G216" s="3"/>
      <c r="H216" s="8">
        <v>674.25</v>
      </c>
      <c r="I216" s="3"/>
      <c r="J216" s="7">
        <f t="shared" si="37"/>
        <v>3.3218515756809424E-3</v>
      </c>
      <c r="K216" s="3"/>
      <c r="L216" s="8">
        <f t="shared" si="38"/>
        <v>1187.3900000000001</v>
      </c>
      <c r="M216" s="3"/>
      <c r="N216" s="7">
        <f t="shared" si="39"/>
        <v>1.7610530218761589</v>
      </c>
      <c r="O216" s="12"/>
      <c r="P216" s="8">
        <v>15325.23</v>
      </c>
      <c r="Q216" s="3"/>
      <c r="R216" s="7">
        <f t="shared" si="40"/>
        <v>2.8536172941516472E-3</v>
      </c>
      <c r="S216" s="3"/>
      <c r="T216" s="8">
        <v>18490.04</v>
      </c>
      <c r="U216" s="3"/>
      <c r="V216" s="7">
        <f t="shared" si="41"/>
        <v>4.5285438362131772E-3</v>
      </c>
      <c r="W216" s="3"/>
      <c r="X216" s="8">
        <f t="shared" si="42"/>
        <v>-3164.8100000000013</v>
      </c>
      <c r="Y216" s="3"/>
      <c r="Z216" s="7">
        <f t="shared" si="43"/>
        <v>-0.1711629612483262</v>
      </c>
    </row>
    <row r="217" spans="1:26" s="68" customFormat="1" ht="15" customHeight="1" outlineLevel="1" collapsed="1" x14ac:dyDescent="0.3">
      <c r="A217" s="25"/>
      <c r="B217" s="14" t="str">
        <f>CONCATENATE("     ","Training                                          ")</f>
        <v xml:space="preserve">     Training                                          </v>
      </c>
      <c r="C217" s="14"/>
      <c r="D217" s="2">
        <f>SUM(OSRRefD22_23x_0)</f>
        <v>620</v>
      </c>
      <c r="E217" s="2"/>
      <c r="F217" s="6">
        <f t="shared" si="36"/>
        <v>7.1057580455919647E-4</v>
      </c>
      <c r="G217" s="2"/>
      <c r="H217" s="2">
        <f>SUM(OSRRefH22_23x_0)</f>
        <v>750</v>
      </c>
      <c r="I217" s="2"/>
      <c r="J217" s="6">
        <f t="shared" si="37"/>
        <v>3.6950518083214041E-3</v>
      </c>
      <c r="K217" s="2"/>
      <c r="L217" s="2">
        <f t="shared" si="38"/>
        <v>-130</v>
      </c>
      <c r="M217" s="2"/>
      <c r="N217" s="6">
        <f t="shared" si="39"/>
        <v>-0.17333333333333334</v>
      </c>
      <c r="O217" s="14"/>
      <c r="P217" s="2">
        <f>SUM(OSRRefP22_23x_0)</f>
        <v>1215</v>
      </c>
      <c r="Q217" s="2"/>
      <c r="R217" s="6">
        <f t="shared" si="40"/>
        <v>2.2623771469623956E-4</v>
      </c>
      <c r="S217" s="2"/>
      <c r="T217" s="2">
        <f>SUM(OSRRefT22_23x_0)</f>
        <v>895.63</v>
      </c>
      <c r="U217" s="2"/>
      <c r="V217" s="6">
        <f t="shared" si="41"/>
        <v>2.1935591897192258E-4</v>
      </c>
      <c r="W217" s="2"/>
      <c r="X217" s="2">
        <f t="shared" si="42"/>
        <v>319.37</v>
      </c>
      <c r="Y217" s="2"/>
      <c r="Z217" s="6">
        <f t="shared" si="43"/>
        <v>0.35658698346415374</v>
      </c>
    </row>
    <row r="218" spans="1:26" s="69" customFormat="1" ht="15" hidden="1" customHeight="1" outlineLevel="2" x14ac:dyDescent="0.3">
      <c r="A218" s="26"/>
      <c r="B218" s="12" t="str">
        <f>CONCATENATE("          ","6376"," - ","TRAINING")</f>
        <v xml:space="preserve">          6376 - TRAINING</v>
      </c>
      <c r="C218" s="12"/>
      <c r="D218" s="8">
        <v>620</v>
      </c>
      <c r="E218" s="3"/>
      <c r="F218" s="7">
        <f t="shared" si="36"/>
        <v>7.1057580455919647E-4</v>
      </c>
      <c r="G218" s="3"/>
      <c r="H218" s="8">
        <v>750</v>
      </c>
      <c r="I218" s="3"/>
      <c r="J218" s="7">
        <f t="shared" si="37"/>
        <v>3.6950518083214041E-3</v>
      </c>
      <c r="K218" s="3"/>
      <c r="L218" s="8">
        <f t="shared" si="38"/>
        <v>-130</v>
      </c>
      <c r="M218" s="3"/>
      <c r="N218" s="7">
        <f t="shared" si="39"/>
        <v>-0.17333333333333334</v>
      </c>
      <c r="O218" s="12"/>
      <c r="P218" s="8">
        <v>1215</v>
      </c>
      <c r="Q218" s="3"/>
      <c r="R218" s="7">
        <f t="shared" si="40"/>
        <v>2.2623771469623956E-4</v>
      </c>
      <c r="S218" s="3"/>
      <c r="T218" s="8">
        <v>895.63</v>
      </c>
      <c r="U218" s="3"/>
      <c r="V218" s="7">
        <f t="shared" si="41"/>
        <v>2.1935591897192258E-4</v>
      </c>
      <c r="W218" s="3"/>
      <c r="X218" s="8">
        <f t="shared" si="42"/>
        <v>319.37</v>
      </c>
      <c r="Y218" s="3"/>
      <c r="Z218" s="7">
        <f t="shared" si="43"/>
        <v>0.35658698346415374</v>
      </c>
    </row>
    <row r="219" spans="1:26" s="68" customFormat="1" ht="15" customHeight="1" outlineLevel="1" collapsed="1" x14ac:dyDescent="0.3">
      <c r="A219" s="25"/>
      <c r="B219" s="14" t="str">
        <f>CONCATENATE("     ","Travel                                            ")</f>
        <v xml:space="preserve">     Travel                                            </v>
      </c>
      <c r="C219" s="14"/>
      <c r="D219" s="2">
        <f>SUM(OSRRefD22_24x_0)</f>
        <v>206.75</v>
      </c>
      <c r="E219" s="2"/>
      <c r="F219" s="6">
        <f t="shared" si="36"/>
        <v>2.3695410902034497E-4</v>
      </c>
      <c r="G219" s="2"/>
      <c r="H219" s="2">
        <f>SUM(OSRRefH22_24x_0)</f>
        <v>0</v>
      </c>
      <c r="I219" s="2"/>
      <c r="J219" s="6">
        <f t="shared" si="37"/>
        <v>0</v>
      </c>
      <c r="K219" s="2"/>
      <c r="L219" s="2">
        <f t="shared" si="38"/>
        <v>206.75</v>
      </c>
      <c r="M219" s="2"/>
      <c r="N219" s="6">
        <f t="shared" si="39"/>
        <v>0</v>
      </c>
      <c r="O219" s="14"/>
      <c r="P219" s="2">
        <f>SUM(OSRRefP22_24x_0)</f>
        <v>1088.76</v>
      </c>
      <c r="Q219" s="2"/>
      <c r="R219" s="6">
        <f t="shared" si="40"/>
        <v>2.0273133683347967E-4</v>
      </c>
      <c r="S219" s="2"/>
      <c r="T219" s="2">
        <f>SUM(OSRRefT22_24x_0)</f>
        <v>810.31000000000006</v>
      </c>
      <c r="U219" s="2"/>
      <c r="V219" s="6">
        <f t="shared" si="41"/>
        <v>1.9845951419909851E-4</v>
      </c>
      <c r="W219" s="2"/>
      <c r="X219" s="2">
        <f t="shared" si="42"/>
        <v>278.44999999999993</v>
      </c>
      <c r="Y219" s="2"/>
      <c r="Z219" s="6">
        <f t="shared" si="43"/>
        <v>0.34363391788327913</v>
      </c>
    </row>
    <row r="220" spans="1:26" s="69" customFormat="1" ht="15" hidden="1" customHeight="1" outlineLevel="2" x14ac:dyDescent="0.3">
      <c r="A220" s="26"/>
      <c r="B220" s="12" t="str">
        <f>CONCATENATE("          ","6292"," - ","TRAVEL/CONFERENCE")</f>
        <v xml:space="preserve">          6292 - TRAVEL/CONFERENCE</v>
      </c>
      <c r="C220" s="12"/>
      <c r="D220" s="8"/>
      <c r="E220" s="3"/>
      <c r="F220" s="7">
        <f t="shared" si="36"/>
        <v>0</v>
      </c>
      <c r="G220" s="3"/>
      <c r="H220" s="8"/>
      <c r="I220" s="3"/>
      <c r="J220" s="7">
        <f t="shared" si="37"/>
        <v>0</v>
      </c>
      <c r="K220" s="3"/>
      <c r="L220" s="8">
        <f t="shared" si="38"/>
        <v>0</v>
      </c>
      <c r="M220" s="3"/>
      <c r="N220" s="7">
        <f t="shared" si="39"/>
        <v>0</v>
      </c>
      <c r="O220" s="12"/>
      <c r="P220" s="8">
        <v>495</v>
      </c>
      <c r="Q220" s="3"/>
      <c r="R220" s="7">
        <f t="shared" si="40"/>
        <v>9.2170920802171674E-5</v>
      </c>
      <c r="S220" s="3"/>
      <c r="T220" s="8">
        <v>299.16000000000003</v>
      </c>
      <c r="U220" s="3"/>
      <c r="V220" s="7">
        <f t="shared" si="41"/>
        <v>7.3269672431294585E-5</v>
      </c>
      <c r="W220" s="3"/>
      <c r="X220" s="8">
        <f t="shared" si="42"/>
        <v>195.83999999999997</v>
      </c>
      <c r="Y220" s="3"/>
      <c r="Z220" s="7">
        <f t="shared" si="43"/>
        <v>0.65463297232250284</v>
      </c>
    </row>
    <row r="221" spans="1:26" s="69" customFormat="1" ht="15" hidden="1" customHeight="1" outlineLevel="2" x14ac:dyDescent="0.3">
      <c r="A221" s="26"/>
      <c r="B221" s="12" t="str">
        <f>CONCATENATE("          ","6294"," - ","TRAVEL OPERATIONAL")</f>
        <v xml:space="preserve">          6294 - TRAVEL OPERATIONAL</v>
      </c>
      <c r="C221" s="12"/>
      <c r="D221" s="8">
        <v>116.74</v>
      </c>
      <c r="E221" s="3"/>
      <c r="F221" s="7">
        <f t="shared" si="36"/>
        <v>1.3379454745845258E-4</v>
      </c>
      <c r="G221" s="3"/>
      <c r="H221" s="8"/>
      <c r="I221" s="3"/>
      <c r="J221" s="7">
        <f t="shared" si="37"/>
        <v>0</v>
      </c>
      <c r="K221" s="3"/>
      <c r="L221" s="8">
        <f t="shared" si="38"/>
        <v>116.74</v>
      </c>
      <c r="M221" s="3"/>
      <c r="N221" s="7">
        <f t="shared" si="39"/>
        <v>0</v>
      </c>
      <c r="O221" s="12"/>
      <c r="P221" s="8">
        <v>356.67</v>
      </c>
      <c r="Q221" s="3"/>
      <c r="R221" s="7">
        <f t="shared" si="40"/>
        <v>6.6413338025273885E-5</v>
      </c>
      <c r="S221" s="3"/>
      <c r="T221" s="8">
        <v>451.26</v>
      </c>
      <c r="U221" s="3"/>
      <c r="V221" s="7">
        <f t="shared" si="41"/>
        <v>1.105217020368565E-4</v>
      </c>
      <c r="W221" s="3"/>
      <c r="X221" s="8">
        <f t="shared" si="42"/>
        <v>-94.589999999999975</v>
      </c>
      <c r="Y221" s="3"/>
      <c r="Z221" s="7">
        <f t="shared" si="43"/>
        <v>-0.20961308336657355</v>
      </c>
    </row>
    <row r="222" spans="1:26" s="69" customFormat="1" ht="15" hidden="1" customHeight="1" outlineLevel="2" x14ac:dyDescent="0.3">
      <c r="A222" s="26"/>
      <c r="B222" s="12" t="str">
        <f>CONCATENATE("          ","6298"," - ","VEHICLE MILEAGE")</f>
        <v xml:space="preserve">          6298 - VEHICLE MILEAGE</v>
      </c>
      <c r="C222" s="12"/>
      <c r="D222" s="8">
        <v>90.01</v>
      </c>
      <c r="E222" s="3"/>
      <c r="F222" s="7">
        <f t="shared" si="36"/>
        <v>1.0315956156189238E-4</v>
      </c>
      <c r="G222" s="3"/>
      <c r="H222" s="8"/>
      <c r="I222" s="3"/>
      <c r="J222" s="7">
        <f t="shared" si="37"/>
        <v>0</v>
      </c>
      <c r="K222" s="3"/>
      <c r="L222" s="8">
        <f t="shared" si="38"/>
        <v>90.01</v>
      </c>
      <c r="M222" s="3"/>
      <c r="N222" s="7">
        <f t="shared" si="39"/>
        <v>0</v>
      </c>
      <c r="O222" s="12"/>
      <c r="P222" s="8">
        <v>237.09</v>
      </c>
      <c r="Q222" s="3"/>
      <c r="R222" s="7">
        <f t="shared" si="40"/>
        <v>4.4147078006034103E-5</v>
      </c>
      <c r="S222" s="3"/>
      <c r="T222" s="8">
        <v>59.89</v>
      </c>
      <c r="U222" s="3"/>
      <c r="V222" s="7">
        <f t="shared" si="41"/>
        <v>1.4668139730947427E-5</v>
      </c>
      <c r="W222" s="3"/>
      <c r="X222" s="8">
        <f t="shared" si="42"/>
        <v>177.2</v>
      </c>
      <c r="Y222" s="3"/>
      <c r="Z222" s="7">
        <f t="shared" si="43"/>
        <v>2.9587577224912338</v>
      </c>
    </row>
    <row r="223" spans="1:26" s="68" customFormat="1" ht="15" customHeight="1" outlineLevel="1" collapsed="1" x14ac:dyDescent="0.3">
      <c r="A223" s="25"/>
      <c r="B223" s="14" t="str">
        <f>CONCATENATE("     ","Utilities                                         ")</f>
        <v xml:space="preserve">     Utilities                                         </v>
      </c>
      <c r="C223" s="14"/>
      <c r="D223" s="2">
        <f>SUM(OSRRefD22_25x_0)</f>
        <v>6455.65</v>
      </c>
      <c r="E223" s="2"/>
      <c r="F223" s="6">
        <f t="shared" si="36"/>
        <v>7.3987559559718979E-3</v>
      </c>
      <c r="G223" s="2"/>
      <c r="H223" s="2">
        <f>SUM(OSRRefH22_25x_0)</f>
        <v>7297.14</v>
      </c>
      <c r="I223" s="2"/>
      <c r="J223" s="6">
        <f t="shared" si="37"/>
        <v>3.5951080470099268E-2</v>
      </c>
      <c r="K223" s="2"/>
      <c r="L223" s="2">
        <f t="shared" si="38"/>
        <v>-841.49000000000069</v>
      </c>
      <c r="M223" s="2"/>
      <c r="N223" s="6">
        <f t="shared" si="39"/>
        <v>-0.11531778203515358</v>
      </c>
      <c r="O223" s="14"/>
      <c r="P223" s="2">
        <f>SUM(OSRRefP22_25x_0)</f>
        <v>43695.07</v>
      </c>
      <c r="Q223" s="2"/>
      <c r="R223" s="6">
        <f t="shared" si="40"/>
        <v>8.136191588717874E-3</v>
      </c>
      <c r="S223" s="2"/>
      <c r="T223" s="2">
        <f>SUM(OSRRefT22_25x_0)</f>
        <v>54918.17</v>
      </c>
      <c r="U223" s="2"/>
      <c r="V223" s="6">
        <f t="shared" si="41"/>
        <v>1.3450449011987393E-2</v>
      </c>
      <c r="W223" s="2"/>
      <c r="X223" s="2">
        <f t="shared" si="42"/>
        <v>-11223.099999999999</v>
      </c>
      <c r="Y223" s="2"/>
      <c r="Z223" s="6">
        <f t="shared" si="43"/>
        <v>-0.20436041477711292</v>
      </c>
    </row>
    <row r="224" spans="1:26" s="69" customFormat="1" ht="15" hidden="1" customHeight="1" outlineLevel="2" x14ac:dyDescent="0.3">
      <c r="A224" s="26"/>
      <c r="B224" s="12" t="str">
        <f>CONCATENATE("          ","6274"," - ","UTILITIES")</f>
        <v xml:space="preserve">          6274 - UTILITIES</v>
      </c>
      <c r="C224" s="12"/>
      <c r="D224" s="8">
        <v>6455.65</v>
      </c>
      <c r="E224" s="3"/>
      <c r="F224" s="7">
        <f t="shared" si="36"/>
        <v>7.3987559559718979E-3</v>
      </c>
      <c r="G224" s="3"/>
      <c r="H224" s="8">
        <v>7297.14</v>
      </c>
      <c r="I224" s="3"/>
      <c r="J224" s="7">
        <f t="shared" si="37"/>
        <v>3.5951080470099268E-2</v>
      </c>
      <c r="K224" s="3"/>
      <c r="L224" s="8">
        <f t="shared" si="38"/>
        <v>-841.49000000000069</v>
      </c>
      <c r="M224" s="3"/>
      <c r="N224" s="7">
        <f t="shared" si="39"/>
        <v>-0.11531778203515358</v>
      </c>
      <c r="O224" s="12"/>
      <c r="P224" s="8">
        <v>43695.07</v>
      </c>
      <c r="Q224" s="3"/>
      <c r="R224" s="7">
        <f t="shared" si="40"/>
        <v>8.136191588717874E-3</v>
      </c>
      <c r="S224" s="3"/>
      <c r="T224" s="8">
        <v>54918.17</v>
      </c>
      <c r="U224" s="3"/>
      <c r="V224" s="7">
        <f t="shared" si="41"/>
        <v>1.3450449011987393E-2</v>
      </c>
      <c r="W224" s="3"/>
      <c r="X224" s="8">
        <f t="shared" si="42"/>
        <v>-11223.099999999999</v>
      </c>
      <c r="Y224" s="3"/>
      <c r="Z224" s="7">
        <f t="shared" si="43"/>
        <v>-0.20436041477711292</v>
      </c>
    </row>
    <row r="225" spans="1:26" s="64" customFormat="1" ht="15" customHeight="1" x14ac:dyDescent="0.3">
      <c r="A225" s="36"/>
      <c r="B225" s="36"/>
      <c r="C225" s="36"/>
      <c r="D225" s="2"/>
      <c r="E225" s="2"/>
      <c r="F225" s="6"/>
      <c r="G225" s="2"/>
      <c r="H225" s="2"/>
      <c r="I225" s="2"/>
      <c r="J225" s="6"/>
      <c r="K225" s="2"/>
      <c r="L225" s="2"/>
      <c r="M225" s="2"/>
      <c r="N225" s="6"/>
      <c r="O225" s="36"/>
      <c r="P225" s="2"/>
      <c r="Q225" s="2"/>
      <c r="R225" s="6"/>
      <c r="S225" s="2"/>
      <c r="T225" s="2"/>
      <c r="U225" s="2"/>
      <c r="V225" s="6"/>
      <c r="W225" s="2"/>
      <c r="X225" s="2"/>
      <c r="Y225" s="2"/>
      <c r="Z225" s="6"/>
    </row>
    <row r="226" spans="1:26" s="62" customFormat="1" ht="15" customHeight="1" collapsed="1" x14ac:dyDescent="0.3">
      <c r="A226" s="11"/>
      <c r="B226" s="27" t="s">
        <v>290</v>
      </c>
      <c r="C226" s="11"/>
      <c r="D226" s="5">
        <f>SUM(OSRRefD25x_0)</f>
        <v>212140.37999999998</v>
      </c>
      <c r="E226" s="5"/>
      <c r="F226" s="13">
        <f>IF(D$12=0,0,D226/D$12)</f>
        <v>0.24313196967418332</v>
      </c>
      <c r="G226" s="5"/>
      <c r="H226" s="5">
        <f>SUM(OSRRefH25x_0)</f>
        <v>196876.80000000002</v>
      </c>
      <c r="I226" s="5"/>
      <c r="J226" s="13">
        <f>IF(H$12=0,0,H226/H$12)</f>
        <v>0.96995996780870863</v>
      </c>
      <c r="K226" s="5"/>
      <c r="L226" s="5">
        <f>+D226-H226</f>
        <v>15263.579999999958</v>
      </c>
      <c r="M226" s="5"/>
      <c r="N226" s="13">
        <f>IF(H226=0,0,L226/H226)</f>
        <v>7.7528586405305022E-2</v>
      </c>
      <c r="O226" s="11"/>
      <c r="P226" s="5">
        <f>SUM(OSRRefP25x_0)</f>
        <v>728038.79999999993</v>
      </c>
      <c r="Q226" s="5"/>
      <c r="R226" s="13">
        <f>IF(P$12=0,0,P226/P$12)</f>
        <v>0.13556364964789513</v>
      </c>
      <c r="S226" s="5"/>
      <c r="T226" s="5">
        <f>SUM(OSRRefT25x_0)</f>
        <v>773255.40999999992</v>
      </c>
      <c r="U226" s="5"/>
      <c r="V226" s="13">
        <f>IF(T$12=0,0,T226/T$12)</f>
        <v>0.18938417768560764</v>
      </c>
      <c r="W226" s="5"/>
      <c r="X226" s="5">
        <f>+P226-T226</f>
        <v>-45216.609999999986</v>
      </c>
      <c r="Y226" s="5"/>
      <c r="Z226" s="13">
        <f>IF(T226=0,0,X226/T226)</f>
        <v>-5.847564648787907E-2</v>
      </c>
    </row>
    <row r="227" spans="1:26" s="69" customFormat="1" ht="15" hidden="1" customHeight="1" outlineLevel="1" x14ac:dyDescent="0.3">
      <c r="A227" s="42"/>
      <c r="B227" s="12" t="str">
        <f>CONCATENATE("          ","9150"," - ","MISC. INCOME")</f>
        <v xml:space="preserve">          9150 - MISC. INCOME</v>
      </c>
      <c r="C227" s="12"/>
      <c r="D227" s="3">
        <f>--59426.7</f>
        <v>59426.7</v>
      </c>
      <c r="E227" s="3"/>
      <c r="F227" s="20">
        <f>IF(D$12=0,0,D227/D$12)</f>
        <v>6.8108347039996783E-2</v>
      </c>
      <c r="G227" s="3"/>
      <c r="H227" s="3">
        <f>--52128.38</f>
        <v>52128.38</v>
      </c>
      <c r="I227" s="3"/>
      <c r="J227" s="20">
        <f>IF(H$12=0,0,H227/H$12)</f>
        <v>0.25682275304515373</v>
      </c>
      <c r="K227" s="3"/>
      <c r="L227" s="3">
        <f>+D227-H227</f>
        <v>7298.32</v>
      </c>
      <c r="M227" s="3"/>
      <c r="N227" s="20">
        <f>IF(H227=0,0,L227/H227)</f>
        <v>0.14000665280601468</v>
      </c>
      <c r="O227" s="12"/>
      <c r="P227" s="3">
        <f>--320633.77</f>
        <v>320633.77</v>
      </c>
      <c r="Q227" s="3"/>
      <c r="R227" s="20">
        <f>IF(P$12=0,0,P227/P$12)</f>
        <v>5.9703252163983291E-2</v>
      </c>
      <c r="S227" s="3"/>
      <c r="T227" s="3">
        <f>--300611.5</f>
        <v>300611.5</v>
      </c>
      <c r="U227" s="3"/>
      <c r="V227" s="20">
        <f>IF(T$12=0,0,T227/T$12)</f>
        <v>7.3625170925525174E-2</v>
      </c>
      <c r="W227" s="3"/>
      <c r="X227" s="3">
        <f>+P227-T227</f>
        <v>20022.270000000019</v>
      </c>
      <c r="Y227" s="3"/>
      <c r="Z227" s="20">
        <f>IF(T227=0,0,X227/T227)</f>
        <v>6.660513653003966E-2</v>
      </c>
    </row>
    <row r="228" spans="1:26" s="69" customFormat="1" ht="15" hidden="1" customHeight="1" outlineLevel="1" x14ac:dyDescent="0.3">
      <c r="A228" s="42"/>
      <c r="B228" s="12" t="str">
        <f>CONCATENATE("          ","9151"," - ","MISC. INCOME")</f>
        <v xml:space="preserve">          9151 - MISC. INCOME</v>
      </c>
      <c r="C228" s="12"/>
      <c r="D228" s="3">
        <f>--152339.59</f>
        <v>152339.59</v>
      </c>
      <c r="E228" s="3"/>
      <c r="F228" s="20">
        <f>IF(D$12=0,0,D228/D$12)</f>
        <v>0.17459488182333568</v>
      </c>
      <c r="G228" s="3"/>
      <c r="H228" s="3">
        <f>--148653.31</f>
        <v>148653.31</v>
      </c>
      <c r="I228" s="3"/>
      <c r="J228" s="20">
        <f>IF(H$12=0,0,H228/H$12)</f>
        <v>0.73237557590461633</v>
      </c>
      <c r="K228" s="3"/>
      <c r="L228" s="3">
        <f>+D228-H228</f>
        <v>3686.2799999999988</v>
      </c>
      <c r="M228" s="3"/>
      <c r="N228" s="20">
        <f>IF(H228=0,0,L228/H228)</f>
        <v>2.4797833294125767E-2</v>
      </c>
      <c r="O228" s="12"/>
      <c r="P228" s="3">
        <f>--323761.7</f>
        <v>323761.7</v>
      </c>
      <c r="Q228" s="3"/>
      <c r="R228" s="20">
        <f>IF(P$12=0,0,P228/P$12)</f>
        <v>6.0285684867629225E-2</v>
      </c>
      <c r="S228" s="3"/>
      <c r="T228" s="3">
        <f>--297910.7</f>
        <v>297910.7</v>
      </c>
      <c r="U228" s="3"/>
      <c r="V228" s="20">
        <f>IF(T$12=0,0,T228/T$12)</f>
        <v>7.2963696359064287E-2</v>
      </c>
      <c r="W228" s="3"/>
      <c r="X228" s="3">
        <f>+P228-T228</f>
        <v>25851</v>
      </c>
      <c r="Y228" s="3"/>
      <c r="Z228" s="20">
        <f>IF(T228=0,0,X228/T228)</f>
        <v>8.6774325326347795E-2</v>
      </c>
    </row>
    <row r="229" spans="1:26" s="69" customFormat="1" ht="15" hidden="1" customHeight="1" outlineLevel="1" x14ac:dyDescent="0.3">
      <c r="A229" s="42"/>
      <c r="B229" s="12" t="str">
        <f>CONCATENATE("          ","9152"," - ","MISC. INCOME")</f>
        <v xml:space="preserve">          9152 - MISC. INCOME</v>
      </c>
      <c r="C229" s="12"/>
      <c r="D229" s="3">
        <f>--374.09</f>
        <v>374.09</v>
      </c>
      <c r="E229" s="3"/>
      <c r="F229" s="20">
        <f>IF(D$12=0,0,D229/D$12)</f>
        <v>4.2874081085088681E-4</v>
      </c>
      <c r="G229" s="3"/>
      <c r="H229" s="3">
        <f>--81.19</f>
        <v>81.19</v>
      </c>
      <c r="I229" s="3"/>
      <c r="J229" s="20">
        <f>IF(H$12=0,0,H229/H$12)</f>
        <v>4.0000167509015303E-4</v>
      </c>
      <c r="K229" s="3"/>
      <c r="L229" s="3">
        <f>+D229-H229</f>
        <v>292.89999999999998</v>
      </c>
      <c r="M229" s="3"/>
      <c r="N229" s="20">
        <f>IF(H229=0,0,L229/H229)</f>
        <v>3.6075871412735556</v>
      </c>
      <c r="O229" s="12"/>
      <c r="P229" s="3">
        <f>--3867.63</f>
        <v>3867.63</v>
      </c>
      <c r="Q229" s="3"/>
      <c r="R229" s="20">
        <f>IF(P$12=0,0,P229/P$12)</f>
        <v>7.2016771398404698E-4</v>
      </c>
      <c r="S229" s="3"/>
      <c r="T229" s="3">
        <f>--3313.45</f>
        <v>3313.45</v>
      </c>
      <c r="U229" s="3"/>
      <c r="V229" s="20">
        <f>IF(T$12=0,0,T229/T$12)</f>
        <v>8.1152358643359068E-4</v>
      </c>
      <c r="W229" s="3"/>
      <c r="X229" s="3">
        <f>+P229-T229</f>
        <v>554.18000000000029</v>
      </c>
      <c r="Y229" s="3"/>
      <c r="Z229" s="20">
        <f>IF(T229=0,0,X229/T229)</f>
        <v>0.16725165612880843</v>
      </c>
    </row>
    <row r="230" spans="1:26" s="69" customFormat="1" ht="15" hidden="1" customHeight="1" outlineLevel="1" x14ac:dyDescent="0.3">
      <c r="A230" s="42"/>
      <c r="B230" s="12" t="str">
        <f>CONCATENATE("          ","9163"," - ","MISC. INCOME")</f>
        <v xml:space="preserve">          9163 - MISC. INCOME</v>
      </c>
      <c r="C230" s="12"/>
      <c r="D230" s="3">
        <f>0</f>
        <v>0</v>
      </c>
      <c r="E230" s="3"/>
      <c r="F230" s="20">
        <f>IF(D$12=0,0,D230/D$12)</f>
        <v>0</v>
      </c>
      <c r="G230" s="3"/>
      <c r="H230" s="3">
        <f>-3986.08</f>
        <v>-3986.08</v>
      </c>
      <c r="I230" s="3"/>
      <c r="J230" s="20">
        <f>IF(H$12=0,0,H230/H$12)</f>
        <v>-1.9638362816151708E-2</v>
      </c>
      <c r="K230" s="3"/>
      <c r="L230" s="3">
        <f>+D230-H230</f>
        <v>3986.08</v>
      </c>
      <c r="M230" s="3"/>
      <c r="N230" s="20">
        <f>IF(H230=0,0,L230/H230)</f>
        <v>-1</v>
      </c>
      <c r="O230" s="12"/>
      <c r="P230" s="3">
        <f>--79775.7</f>
        <v>79775.7</v>
      </c>
      <c r="Q230" s="3"/>
      <c r="R230" s="20">
        <f>IF(P$12=0,0,P230/P$12)</f>
        <v>1.4854544902298599E-2</v>
      </c>
      <c r="S230" s="3"/>
      <c r="T230" s="3">
        <f>--171419.76</f>
        <v>171419.76</v>
      </c>
      <c r="U230" s="3"/>
      <c r="V230" s="20">
        <f>IF(T$12=0,0,T230/T$12)</f>
        <v>4.1983786814584617E-2</v>
      </c>
      <c r="W230" s="3"/>
      <c r="X230" s="3">
        <f>+P230-T230</f>
        <v>-91644.060000000012</v>
      </c>
      <c r="Y230" s="3"/>
      <c r="Z230" s="20">
        <f>IF(T230=0,0,X230/T230)</f>
        <v>-0.53461782935642899</v>
      </c>
    </row>
    <row r="231" spans="1:26" ht="15" customHeight="1" x14ac:dyDescent="0.3">
      <c r="A231" s="10"/>
      <c r="B231" s="11"/>
      <c r="C231" s="11"/>
      <c r="D231" s="4"/>
      <c r="E231" s="4"/>
      <c r="F231" s="9"/>
      <c r="G231" s="4"/>
      <c r="H231" s="4"/>
      <c r="I231" s="4"/>
      <c r="J231" s="9"/>
      <c r="K231" s="4"/>
      <c r="L231" s="4"/>
      <c r="M231" s="4"/>
      <c r="N231" s="9"/>
      <c r="O231" s="11"/>
      <c r="P231" s="4"/>
      <c r="Q231" s="4"/>
      <c r="R231" s="9"/>
      <c r="S231" s="4"/>
      <c r="T231" s="4"/>
      <c r="U231" s="4"/>
      <c r="V231" s="9"/>
      <c r="W231" s="4"/>
      <c r="X231" s="4"/>
      <c r="Y231" s="4"/>
      <c r="Z231" s="9"/>
    </row>
    <row r="232" spans="1:26" s="62" customFormat="1" ht="15" customHeight="1" x14ac:dyDescent="0.3">
      <c r="A232" s="11"/>
      <c r="B232" s="28" t="s">
        <v>291</v>
      </c>
      <c r="C232" s="28"/>
      <c r="D232" s="23">
        <f>+D131-D133+D226</f>
        <v>275604.63999999978</v>
      </c>
      <c r="E232" s="15"/>
      <c r="F232" s="22">
        <f>IF(D$12=0,0,D232/D$12)</f>
        <v>0.31586772388427026</v>
      </c>
      <c r="G232" s="15"/>
      <c r="H232" s="23">
        <f>+H131-H133+H226</f>
        <v>-919.54999999998836</v>
      </c>
      <c r="I232" s="15"/>
      <c r="J232" s="22">
        <f>IF(H$12=0,0,H232/H$12)</f>
        <v>-4.5303798537892053E-3</v>
      </c>
      <c r="K232" s="17"/>
      <c r="L232" s="23">
        <f>+D232-H232</f>
        <v>276524.18999999977</v>
      </c>
      <c r="M232" s="17"/>
      <c r="N232" s="22">
        <f>IF(H232=0,0,L232/H232)</f>
        <v>-300.71686150835001</v>
      </c>
      <c r="O232" s="27"/>
      <c r="P232" s="23">
        <f>+P131-P133+P226</f>
        <v>198809.08000000066</v>
      </c>
      <c r="Q232" s="15"/>
      <c r="R232" s="22">
        <f>IF(P$12=0,0,P232/P$12)</f>
        <v>3.7019022156429646E-2</v>
      </c>
      <c r="S232" s="15"/>
      <c r="T232" s="23">
        <f>+T131-T133+T226</f>
        <v>-153963.14000000176</v>
      </c>
      <c r="U232" s="15"/>
      <c r="V232" s="22">
        <f>IF(T$12=0,0,T232/T$12)</f>
        <v>-3.7708346150199482E-2</v>
      </c>
      <c r="W232" s="17"/>
      <c r="X232" s="23">
        <f>+P232-T232</f>
        <v>352772.22000000242</v>
      </c>
      <c r="Y232" s="17"/>
      <c r="Z232" s="22">
        <f>IF(T232=0,0,X232/T232)</f>
        <v>-2.2912771199651969</v>
      </c>
    </row>
    <row r="233" spans="1:26" ht="15" customHeight="1" x14ac:dyDescent="0.3">
      <c r="A233" s="10"/>
      <c r="B233" s="11"/>
      <c r="C233" s="10"/>
      <c r="D233" s="4"/>
      <c r="E233" s="4"/>
      <c r="F233" s="9"/>
      <c r="G233" s="4"/>
      <c r="H233" s="4"/>
      <c r="I233" s="4"/>
      <c r="J233" s="9"/>
      <c r="K233" s="4"/>
      <c r="L233" s="4"/>
      <c r="M233" s="4"/>
      <c r="N233" s="9"/>
      <c r="P233" s="4"/>
      <c r="Q233" s="4"/>
      <c r="R233" s="9"/>
      <c r="S233" s="4"/>
      <c r="T233" s="4"/>
      <c r="U233" s="4"/>
      <c r="V233" s="9"/>
      <c r="W233" s="4"/>
      <c r="X233" s="4"/>
      <c r="Y233" s="4"/>
      <c r="Z233" s="9"/>
    </row>
    <row r="234" spans="1:26" s="62" customFormat="1" ht="15" customHeight="1" x14ac:dyDescent="0.3">
      <c r="A234" s="48"/>
      <c r="B234" s="11" t="s">
        <v>292</v>
      </c>
      <c r="C234" s="11"/>
      <c r="D234" s="5">
        <v>74976.38</v>
      </c>
      <c r="E234" s="5"/>
      <c r="F234" s="13">
        <f>IF(D$12=0,0,D234/D$12)</f>
        <v>8.5929679905542025E-2</v>
      </c>
      <c r="G234" s="5"/>
      <c r="H234" s="5">
        <v>104252.68</v>
      </c>
      <c r="I234" s="5"/>
      <c r="J234" s="13">
        <f>IF(H$12=0,0,H234/H$12)</f>
        <v>0.5136254050084702</v>
      </c>
      <c r="K234" s="5"/>
      <c r="L234" s="5">
        <f>+D234-H234</f>
        <v>-29276.299999999988</v>
      </c>
      <c r="M234" s="5"/>
      <c r="N234" s="13">
        <f>IF(H234=0,0,L234/H234)</f>
        <v>-0.28082059856878488</v>
      </c>
      <c r="O234" s="11"/>
      <c r="P234" s="5">
        <v>670355.03</v>
      </c>
      <c r="Q234" s="5"/>
      <c r="R234" s="13">
        <f>IF(P$12=0,0,P234/P$12)</f>
        <v>0.12482270783730792</v>
      </c>
      <c r="S234" s="5"/>
      <c r="T234" s="5">
        <v>808579.84</v>
      </c>
      <c r="U234" s="5"/>
      <c r="V234" s="13">
        <f>IF(T$12=0,0,T234/T$12)</f>
        <v>0.19803576685167995</v>
      </c>
      <c r="W234" s="5"/>
      <c r="X234" s="5">
        <f>+P234-T234</f>
        <v>-138224.80999999994</v>
      </c>
      <c r="Y234" s="5"/>
      <c r="Z234" s="13">
        <f>IF(T234=0,0,X234/T234)</f>
        <v>-0.17094763332214657</v>
      </c>
    </row>
    <row r="235" spans="1:26" ht="15" customHeight="1" x14ac:dyDescent="0.3">
      <c r="A235" s="10"/>
      <c r="B235" s="11"/>
      <c r="C235" s="11"/>
      <c r="D235" s="4"/>
      <c r="E235" s="4"/>
      <c r="F235" s="9"/>
      <c r="G235" s="4"/>
      <c r="H235" s="4"/>
      <c r="I235" s="4"/>
      <c r="J235" s="9"/>
      <c r="K235" s="4"/>
      <c r="L235" s="4"/>
      <c r="M235" s="4"/>
      <c r="N235" s="9"/>
      <c r="O235" s="11"/>
      <c r="P235" s="4"/>
      <c r="Q235" s="4"/>
      <c r="R235" s="9"/>
      <c r="S235" s="4"/>
      <c r="T235" s="4"/>
      <c r="U235" s="4"/>
      <c r="V235" s="9"/>
      <c r="W235" s="4"/>
      <c r="X235" s="4"/>
      <c r="Y235" s="4"/>
      <c r="Z235" s="9"/>
    </row>
    <row r="236" spans="1:26" s="62" customFormat="1" ht="15" customHeight="1" x14ac:dyDescent="0.3">
      <c r="A236" s="11"/>
      <c r="B236" s="28" t="s">
        <v>293</v>
      </c>
      <c r="C236" s="28"/>
      <c r="D236" s="33">
        <f>+D232-D234</f>
        <v>200628.25999999978</v>
      </c>
      <c r="E236" s="15"/>
      <c r="F236" s="34">
        <f>IF(D$12=0,0,D236/D$12)</f>
        <v>0.22993804397872825</v>
      </c>
      <c r="G236" s="15"/>
      <c r="H236" s="33">
        <f>+H232-H234</f>
        <v>-105172.22999999998</v>
      </c>
      <c r="I236" s="15"/>
      <c r="J236" s="34">
        <f>IF(H$12=0,0,H236/H$12)</f>
        <v>-0.51815578486225944</v>
      </c>
      <c r="K236" s="17"/>
      <c r="L236" s="33">
        <f>D236-H236</f>
        <v>305800.48999999976</v>
      </c>
      <c r="M236" s="17"/>
      <c r="N236" s="34">
        <f>IF(H236=0,0,L236/H236)</f>
        <v>-2.9076162975720856</v>
      </c>
      <c r="O236" s="27"/>
      <c r="P236" s="33">
        <f>+P232-P234</f>
        <v>-471545.94999999937</v>
      </c>
      <c r="Q236" s="15"/>
      <c r="R236" s="34">
        <f>IF(P$12=0,0,P236/P$12)</f>
        <v>-8.7803685680878277E-2</v>
      </c>
      <c r="S236" s="15"/>
      <c r="T236" s="33">
        <f>+T232-T234</f>
        <v>-962542.98000000173</v>
      </c>
      <c r="U236" s="15"/>
      <c r="V236" s="34">
        <f>IF(T$12=0,0,T236/T$12)</f>
        <v>-0.23574411300187945</v>
      </c>
      <c r="W236" s="17"/>
      <c r="X236" s="33">
        <f>P236-T236</f>
        <v>490997.03000000236</v>
      </c>
      <c r="Y236" s="17"/>
      <c r="Z236" s="34">
        <f>IF(T236=0,0,X236/T236)</f>
        <v>-0.5101040059530656</v>
      </c>
    </row>
    <row r="237" spans="1:26" ht="15" customHeight="1" x14ac:dyDescent="0.3">
      <c r="A237" s="10"/>
      <c r="B237" s="10"/>
      <c r="C237" s="10"/>
      <c r="D237" s="4"/>
      <c r="E237" s="4"/>
      <c r="F237" s="9"/>
      <c r="G237" s="4"/>
      <c r="H237" s="4"/>
      <c r="I237" s="4"/>
      <c r="J237" s="9"/>
      <c r="K237" s="4"/>
      <c r="L237" s="4"/>
      <c r="M237" s="4"/>
      <c r="N237" s="9"/>
      <c r="P237" s="4"/>
      <c r="Q237" s="4"/>
      <c r="R237" s="9"/>
      <c r="S237" s="4"/>
      <c r="T237" s="4"/>
      <c r="U237" s="4"/>
      <c r="V237" s="9"/>
      <c r="W237" s="4"/>
      <c r="X237" s="4"/>
      <c r="Y237" s="4"/>
      <c r="Z237" s="9"/>
    </row>
    <row r="238" spans="1:26" ht="15" customHeight="1" x14ac:dyDescent="0.3">
      <c r="A238" s="10"/>
      <c r="B238" s="10"/>
      <c r="C238" s="10"/>
      <c r="D238" s="4"/>
      <c r="E238" s="4"/>
      <c r="F238" s="9"/>
      <c r="G238" s="4"/>
      <c r="H238" s="4"/>
      <c r="I238" s="4"/>
      <c r="J238" s="9"/>
      <c r="K238" s="4"/>
      <c r="L238" s="4"/>
      <c r="M238" s="4"/>
      <c r="N238" s="9"/>
      <c r="P238" s="4"/>
      <c r="Q238" s="4"/>
      <c r="R238" s="9"/>
      <c r="S238" s="4"/>
      <c r="T238" s="4"/>
      <c r="U238" s="4"/>
      <c r="V238" s="9"/>
      <c r="W238" s="4"/>
      <c r="X238" s="4"/>
      <c r="Y238" s="4"/>
      <c r="Z238" s="9"/>
    </row>
    <row r="239" spans="1:26" s="62" customFormat="1" ht="15" customHeight="1" x14ac:dyDescent="0.3">
      <c r="A239" s="11"/>
      <c r="B239" s="28" t="s">
        <v>296</v>
      </c>
      <c r="C239" s="28"/>
      <c r="D239" s="35">
        <f>SUM(D236:D238)</f>
        <v>200628.25999999978</v>
      </c>
      <c r="E239" s="15"/>
      <c r="F239" s="29">
        <f>IF(D$12=0,0,D239/D$12)</f>
        <v>0.22993804397872825</v>
      </c>
      <c r="G239" s="15"/>
      <c r="H239" s="35">
        <f>SUM(H236:H238)</f>
        <v>-105172.22999999998</v>
      </c>
      <c r="I239" s="15"/>
      <c r="J239" s="29">
        <f>IF(H$12=0,0,H239/H$12)</f>
        <v>-0.51815578486225944</v>
      </c>
      <c r="K239" s="17"/>
      <c r="L239" s="35">
        <f>+D239-H239</f>
        <v>305800.48999999976</v>
      </c>
      <c r="M239" s="17"/>
      <c r="N239" s="29">
        <f>IF(H239=0,0,L239/H239)</f>
        <v>-2.9076162975720856</v>
      </c>
      <c r="O239" s="27"/>
      <c r="P239" s="35">
        <f>SUM(P236:P238)</f>
        <v>-471545.94999999937</v>
      </c>
      <c r="Q239" s="15"/>
      <c r="R239" s="29">
        <f>IF(P$12=0,0,P239/P$12)</f>
        <v>-8.7803685680878277E-2</v>
      </c>
      <c r="S239" s="15"/>
      <c r="T239" s="35">
        <f>SUM(T236:T238)</f>
        <v>-962542.98000000173</v>
      </c>
      <c r="U239" s="15"/>
      <c r="V239" s="29">
        <f>IF(T$12=0,0,T239/T$12)</f>
        <v>-0.23574411300187945</v>
      </c>
      <c r="W239" s="17"/>
      <c r="X239" s="35">
        <f>+P239-T239</f>
        <v>490997.03000000236</v>
      </c>
      <c r="Y239" s="17"/>
      <c r="Z239" s="29">
        <f>IF(T239=0,0,X239/T239)</f>
        <v>-0.5101040059530656</v>
      </c>
    </row>
    <row r="240" spans="1:26" ht="15" customHeight="1" x14ac:dyDescent="0.3">
      <c r="A240" s="10"/>
      <c r="C240" s="10"/>
      <c r="D240" s="18"/>
      <c r="E240" s="18"/>
      <c r="G240" s="18"/>
      <c r="H240" s="18"/>
      <c r="I240" s="18"/>
      <c r="J240" s="41"/>
      <c r="K240" s="18"/>
      <c r="L240" s="18"/>
      <c r="M240" s="18"/>
      <c r="P240" s="18"/>
      <c r="Q240" s="18"/>
      <c r="R240" s="41"/>
      <c r="S240" s="18"/>
      <c r="T240" s="18"/>
      <c r="U240" s="18"/>
      <c r="V240" s="41"/>
      <c r="W240" s="18"/>
      <c r="X240" s="18"/>
    </row>
    <row r="241" spans="1:24" ht="15" customHeight="1" x14ac:dyDescent="0.3">
      <c r="A241" s="10"/>
      <c r="B241" s="50">
        <v>44634.887749074071</v>
      </c>
      <c r="D241" s="18"/>
      <c r="E241" s="18"/>
      <c r="G241" s="18"/>
      <c r="H241" s="18"/>
      <c r="I241" s="18"/>
      <c r="J241" s="41"/>
      <c r="K241" s="18"/>
      <c r="L241" s="18"/>
      <c r="M241" s="18"/>
      <c r="P241" s="18"/>
      <c r="Q241" s="18"/>
      <c r="R241" s="41"/>
      <c r="S241" s="18"/>
      <c r="T241" s="18"/>
      <c r="U241" s="18"/>
      <c r="V241" s="41"/>
      <c r="W241" s="18"/>
      <c r="X241" s="18"/>
    </row>
    <row r="242" spans="1:24" ht="15" customHeight="1" x14ac:dyDescent="0.3">
      <c r="A242" s="10"/>
      <c r="B242" s="58" t="s">
        <v>297</v>
      </c>
      <c r="D242" s="18"/>
      <c r="E242" s="18"/>
      <c r="G242" s="18"/>
      <c r="H242" s="18"/>
      <c r="I242" s="18"/>
      <c r="J242" s="41"/>
      <c r="K242" s="18"/>
      <c r="L242" s="18"/>
      <c r="M242" s="18"/>
      <c r="P242" s="18"/>
      <c r="Q242" s="18"/>
      <c r="R242" s="41"/>
      <c r="S242" s="18"/>
      <c r="T242" s="18"/>
      <c r="U242" s="18"/>
      <c r="V242" s="41"/>
      <c r="W242" s="18"/>
      <c r="X242" s="18"/>
    </row>
    <row r="243" spans="1:24" ht="15" customHeight="1" x14ac:dyDescent="0.3">
      <c r="A243" s="10"/>
      <c r="B243" s="56"/>
      <c r="D243" s="18"/>
      <c r="E243" s="18"/>
      <c r="G243" s="18"/>
      <c r="H243" s="18"/>
      <c r="I243" s="18"/>
      <c r="J243" s="41"/>
      <c r="K243" s="18"/>
      <c r="L243" s="18"/>
      <c r="M243" s="18"/>
      <c r="P243" s="18"/>
      <c r="Q243" s="18"/>
      <c r="R243" s="41"/>
      <c r="S243" s="18"/>
      <c r="T243" s="18"/>
      <c r="U243" s="18"/>
      <c r="V243" s="41"/>
      <c r="W243" s="18"/>
      <c r="X243" s="18"/>
    </row>
    <row r="244" spans="1:24" ht="15" customHeight="1" x14ac:dyDescent="0.3">
      <c r="D244" s="18"/>
      <c r="E244" s="18"/>
      <c r="G244" s="18"/>
      <c r="H244" s="18"/>
      <c r="I244" s="18"/>
      <c r="J244" s="41"/>
      <c r="K244" s="18"/>
      <c r="L244" s="18"/>
      <c r="M244" s="18"/>
      <c r="P244" s="18"/>
      <c r="Q244" s="18"/>
      <c r="R244" s="41"/>
      <c r="S244" s="18"/>
      <c r="T244" s="18"/>
      <c r="U244" s="18"/>
      <c r="V244" s="41"/>
      <c r="W244" s="18"/>
      <c r="X244" s="18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136A1-FC0E-6FCD-72B8-83B360923BB5}">
  <sheetPr>
    <tabColor rgb="FFFFFF00"/>
    <outlinePr summaryBelow="0" summaryRight="0"/>
  </sheetPr>
  <dimension ref="A2:Z23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778665.85999999987</v>
      </c>
      <c r="E12" s="5"/>
      <c r="F12" s="13"/>
      <c r="G12" s="5"/>
      <c r="H12" s="5">
        <f>SUM(OSRRefH13x_0)</f>
        <v>202840.15000000002</v>
      </c>
      <c r="I12" s="5"/>
      <c r="J12" s="13"/>
      <c r="K12" s="5"/>
      <c r="L12" s="5">
        <f t="shared" ref="L12:L43" si="0">+D12-H12</f>
        <v>575825.70999999985</v>
      </c>
      <c r="M12" s="5"/>
      <c r="N12" s="13">
        <f t="shared" ref="N12:N43" si="1">IF(H12=0,0,L12/H12)</f>
        <v>2.8388152444178325</v>
      </c>
      <c r="O12" s="11"/>
      <c r="P12" s="5">
        <f>SUM(OSRRefP13x_0)</f>
        <v>5195350.4400000004</v>
      </c>
      <c r="Q12" s="5"/>
      <c r="R12" s="13"/>
      <c r="S12" s="5"/>
      <c r="T12" s="5">
        <f>SUM(OSRRefT13x_0)</f>
        <v>4080278.5399999986</v>
      </c>
      <c r="U12" s="5"/>
      <c r="V12" s="13"/>
      <c r="W12" s="5"/>
      <c r="X12" s="5">
        <f t="shared" ref="X12:X43" si="2">+P12-T12</f>
        <v>1115071.9000000018</v>
      </c>
      <c r="Y12" s="5"/>
      <c r="Z12" s="13">
        <f t="shared" ref="Z12:Z43" si="3">IF(T12=0,0,X12/T12)</f>
        <v>0.27328327933220026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--665816.07</f>
        <v>665816.06999999995</v>
      </c>
      <c r="E13" s="3"/>
      <c r="F13" s="20"/>
      <c r="G13" s="3"/>
      <c r="H13" s="3">
        <f>-7353.1</f>
        <v>-7353.1</v>
      </c>
      <c r="I13" s="3"/>
      <c r="J13" s="20"/>
      <c r="K13" s="3"/>
      <c r="L13" s="3">
        <f t="shared" si="0"/>
        <v>673169.16999999993</v>
      </c>
      <c r="M13" s="3"/>
      <c r="N13" s="20">
        <f t="shared" si="1"/>
        <v>-91.549029660959306</v>
      </c>
      <c r="O13" s="12"/>
      <c r="P13" s="3">
        <f>--4436507.41</f>
        <v>4436507.41</v>
      </c>
      <c r="Q13" s="3"/>
      <c r="R13" s="20"/>
      <c r="S13" s="3"/>
      <c r="T13" s="3">
        <f>-108361.13</f>
        <v>-108361.13</v>
      </c>
      <c r="U13" s="3"/>
      <c r="V13" s="20"/>
      <c r="W13" s="3"/>
      <c r="X13" s="3">
        <f t="shared" si="2"/>
        <v>4544868.54</v>
      </c>
      <c r="Y13" s="3"/>
      <c r="Z13" s="20">
        <f t="shared" si="3"/>
        <v>-41.941871038074261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--34627.67</f>
        <v>34627.67</v>
      </c>
      <c r="I14" s="3"/>
      <c r="J14" s="20"/>
      <c r="K14" s="3"/>
      <c r="L14" s="3">
        <f t="shared" si="0"/>
        <v>-34627.67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--1224724.01</f>
        <v>1224724.01</v>
      </c>
      <c r="U14" s="3"/>
      <c r="V14" s="20"/>
      <c r="W14" s="3"/>
      <c r="X14" s="3">
        <f t="shared" si="2"/>
        <v>-1224724.01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--12732.98</f>
        <v>12732.98</v>
      </c>
      <c r="I15" s="3"/>
      <c r="J15" s="20"/>
      <c r="K15" s="3"/>
      <c r="L15" s="3">
        <f t="shared" si="0"/>
        <v>-12732.98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--575134.48</f>
        <v>575134.48</v>
      </c>
      <c r="U15" s="3"/>
      <c r="V15" s="20"/>
      <c r="W15" s="3"/>
      <c r="X15" s="3">
        <f t="shared" si="2"/>
        <v>-575134.48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--41.38</f>
        <v>41.38</v>
      </c>
      <c r="I21" s="3"/>
      <c r="J21" s="20"/>
      <c r="K21" s="3"/>
      <c r="L21" s="3">
        <f t="shared" si="0"/>
        <v>-41.38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--448.38</f>
        <v>448.38</v>
      </c>
      <c r="U21" s="3"/>
      <c r="V21" s="20"/>
      <c r="W21" s="3"/>
      <c r="X21" s="3">
        <f t="shared" si="2"/>
        <v>-448.38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--5808.1</f>
        <v>5808.1</v>
      </c>
      <c r="I22" s="3"/>
      <c r="J22" s="20"/>
      <c r="K22" s="3"/>
      <c r="L22" s="3">
        <f t="shared" si="0"/>
        <v>-5808.1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--54484.32</f>
        <v>54484.32</v>
      </c>
      <c r="U22" s="3"/>
      <c r="V22" s="20"/>
      <c r="W22" s="3"/>
      <c r="X22" s="3">
        <f t="shared" si="2"/>
        <v>-54484.32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--1924.8</f>
        <v>1924.8</v>
      </c>
      <c r="I23" s="3"/>
      <c r="J23" s="20"/>
      <c r="K23" s="3"/>
      <c r="L23" s="3">
        <f t="shared" si="0"/>
        <v>-1924.8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--40876.62</f>
        <v>40876.620000000003</v>
      </c>
      <c r="U23" s="3"/>
      <c r="V23" s="20"/>
      <c r="W23" s="3"/>
      <c r="X23" s="3">
        <f t="shared" si="2"/>
        <v>-40876.620000000003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--593.6</f>
        <v>593.6</v>
      </c>
      <c r="I24" s="3"/>
      <c r="J24" s="20"/>
      <c r="K24" s="3"/>
      <c r="L24" s="3">
        <f t="shared" si="0"/>
        <v>-593.6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--3180.84</f>
        <v>3180.84</v>
      </c>
      <c r="U24" s="3"/>
      <c r="V24" s="20"/>
      <c r="W24" s="3"/>
      <c r="X24" s="3">
        <f t="shared" si="2"/>
        <v>-3180.84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--73245.08</f>
        <v>73245.08</v>
      </c>
      <c r="I26" s="3"/>
      <c r="J26" s="20"/>
      <c r="K26" s="3"/>
      <c r="L26" s="3">
        <f t="shared" si="0"/>
        <v>-73245.08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--671347.98</f>
        <v>671347.98</v>
      </c>
      <c r="U26" s="3"/>
      <c r="V26" s="20"/>
      <c r="W26" s="3"/>
      <c r="X26" s="3">
        <f t="shared" si="2"/>
        <v>-671347.98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--27100.04</f>
        <v>27100.04</v>
      </c>
      <c r="I27" s="3"/>
      <c r="J27" s="20"/>
      <c r="K27" s="3"/>
      <c r="L27" s="3">
        <f t="shared" si="0"/>
        <v>-27100.04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--276199.31</f>
        <v>276199.31</v>
      </c>
      <c r="U27" s="3"/>
      <c r="V27" s="20"/>
      <c r="W27" s="3"/>
      <c r="X27" s="3">
        <f t="shared" si="2"/>
        <v>-276199.31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--4794.04</f>
        <v>4794.04</v>
      </c>
      <c r="I28" s="3"/>
      <c r="J28" s="20"/>
      <c r="K28" s="3"/>
      <c r="L28" s="3">
        <f t="shared" si="0"/>
        <v>-4794.04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--78994.92</f>
        <v>78994.92</v>
      </c>
      <c r="U28" s="3"/>
      <c r="V28" s="20"/>
      <c r="W28" s="3"/>
      <c r="X28" s="3">
        <f t="shared" si="2"/>
        <v>-78994.92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--6195.85</f>
        <v>6195.85</v>
      </c>
      <c r="I29" s="3"/>
      <c r="J29" s="20"/>
      <c r="K29" s="3"/>
      <c r="L29" s="3">
        <f t="shared" si="0"/>
        <v>-6195.85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--124150.66</f>
        <v>124150.66</v>
      </c>
      <c r="U29" s="3"/>
      <c r="V29" s="20"/>
      <c r="W29" s="3"/>
      <c r="X29" s="3">
        <f t="shared" si="2"/>
        <v>-124150.66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--2036.78</f>
        <v>2036.78</v>
      </c>
      <c r="I30" s="3"/>
      <c r="J30" s="20"/>
      <c r="K30" s="3"/>
      <c r="L30" s="3">
        <f t="shared" si="0"/>
        <v>-2036.78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--29572.4</f>
        <v>29572.400000000001</v>
      </c>
      <c r="U30" s="3"/>
      <c r="V30" s="20"/>
      <c r="W30" s="3"/>
      <c r="X30" s="3">
        <f t="shared" si="2"/>
        <v>-29572.400000000001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--10039.9</f>
        <v>10039.9</v>
      </c>
      <c r="I31" s="3"/>
      <c r="J31" s="20"/>
      <c r="K31" s="3"/>
      <c r="L31" s="3">
        <f t="shared" si="0"/>
        <v>-10039.9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--135489.57</f>
        <v>135489.57</v>
      </c>
      <c r="U31" s="3"/>
      <c r="V31" s="20"/>
      <c r="W31" s="3"/>
      <c r="X31" s="3">
        <f t="shared" si="2"/>
        <v>-135489.57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--71.95</f>
        <v>71.95</v>
      </c>
      <c r="U32" s="3"/>
      <c r="V32" s="20"/>
      <c r="W32" s="3"/>
      <c r="X32" s="3">
        <f t="shared" si="2"/>
        <v>-71.95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","4083"," - ","TAXABLE SALES-COMPUTER EQUIPME")</f>
        <v xml:space="preserve">          4083 - TAXABLE SALES-COMPUTER EQUIPME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--9.99</f>
        <v>9.99</v>
      </c>
      <c r="U33" s="3"/>
      <c r="V33" s="20"/>
      <c r="W33" s="3"/>
      <c r="X33" s="3">
        <f t="shared" si="2"/>
        <v>-9.99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","4095"," - ","TAXABLE SALES-CUSTOMER SERVICE")</f>
        <v xml:space="preserve">          4095 - TAXABLE SALES-CUSTOMER SERVICE</v>
      </c>
      <c r="C34" s="12"/>
      <c r="D34" s="3">
        <f>0</f>
        <v>0</v>
      </c>
      <c r="E34" s="3"/>
      <c r="F34" s="20"/>
      <c r="G34" s="3"/>
      <c r="H34" s="3">
        <f>--139.85</f>
        <v>139.85</v>
      </c>
      <c r="I34" s="3"/>
      <c r="J34" s="20"/>
      <c r="K34" s="3"/>
      <c r="L34" s="3">
        <f t="shared" si="0"/>
        <v>-139.85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--139.85</f>
        <v>139.85</v>
      </c>
      <c r="U34" s="3"/>
      <c r="V34" s="20"/>
      <c r="W34" s="3"/>
      <c r="X34" s="3">
        <f t="shared" si="2"/>
        <v>-139.85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","4100"," - ","NON-TAXABLE SALES")</f>
        <v xml:space="preserve">          4100 - NON-TAXABLE SALES</v>
      </c>
      <c r="C35" s="12"/>
      <c r="D35" s="3">
        <f>--146600.36</f>
        <v>146600.35999999999</v>
      </c>
      <c r="E35" s="3"/>
      <c r="F35" s="20"/>
      <c r="G35" s="3"/>
      <c r="H35" s="3">
        <f>--5617.7</f>
        <v>5617.7</v>
      </c>
      <c r="I35" s="3"/>
      <c r="J35" s="20"/>
      <c r="K35" s="3"/>
      <c r="L35" s="3">
        <f t="shared" si="0"/>
        <v>140982.65999999997</v>
      </c>
      <c r="M35" s="3"/>
      <c r="N35" s="20">
        <f t="shared" si="1"/>
        <v>25.096153229969556</v>
      </c>
      <c r="O35" s="12"/>
      <c r="P35" s="3">
        <f>--1004150.66</f>
        <v>1004150.66</v>
      </c>
      <c r="Q35" s="3"/>
      <c r="R35" s="20"/>
      <c r="S35" s="3"/>
      <c r="T35" s="3">
        <f>--284173.56</f>
        <v>284173.56</v>
      </c>
      <c r="U35" s="3"/>
      <c r="V35" s="20"/>
      <c r="W35" s="3"/>
      <c r="X35" s="3">
        <f t="shared" si="2"/>
        <v>719977.10000000009</v>
      </c>
      <c r="Y35" s="3"/>
      <c r="Z35" s="20">
        <f t="shared" si="3"/>
        <v>2.5335822938629482</v>
      </c>
    </row>
    <row r="36" spans="1:26" s="69" customFormat="1" ht="15" hidden="1" customHeight="1" outlineLevel="1" x14ac:dyDescent="0.3">
      <c r="A36" s="42"/>
      <c r="B36" s="12" t="str">
        <f>CONCATENATE("          ","4101"," - ","NON-TAXABLE SALES-NEW TEXT")</f>
        <v xml:space="preserve">          4101 - NON-TAXABLE SALES-NEW TEXT</v>
      </c>
      <c r="C36" s="12"/>
      <c r="D36" s="3">
        <f>0</f>
        <v>0</v>
      </c>
      <c r="E36" s="3"/>
      <c r="F36" s="20"/>
      <c r="G36" s="3"/>
      <c r="H36" s="3">
        <f>--6785.91</f>
        <v>6785.91</v>
      </c>
      <c r="I36" s="3"/>
      <c r="J36" s="20"/>
      <c r="K36" s="3"/>
      <c r="L36" s="3">
        <f t="shared" si="0"/>
        <v>-6785.91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--111011.54</f>
        <v>111011.54</v>
      </c>
      <c r="U36" s="3"/>
      <c r="V36" s="20"/>
      <c r="W36" s="3"/>
      <c r="X36" s="3">
        <f t="shared" si="2"/>
        <v>-111011.54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","4102"," - ","NON-TAXABLE SALES-USED TEXT")</f>
        <v xml:space="preserve">          4102 - NON-TAXABLE SALES-USED TEXT</v>
      </c>
      <c r="C37" s="12"/>
      <c r="D37" s="3">
        <f>0</f>
        <v>0</v>
      </c>
      <c r="E37" s="3"/>
      <c r="F37" s="20"/>
      <c r="G37" s="3"/>
      <c r="H37" s="3">
        <f>--3426.05</f>
        <v>3426.05</v>
      </c>
      <c r="I37" s="3"/>
      <c r="J37" s="20"/>
      <c r="K37" s="3"/>
      <c r="L37" s="3">
        <f t="shared" si="0"/>
        <v>-3426.05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--46387.37</f>
        <v>46387.37</v>
      </c>
      <c r="U37" s="3"/>
      <c r="V37" s="20"/>
      <c r="W37" s="3"/>
      <c r="X37" s="3">
        <f t="shared" si="2"/>
        <v>-46387.37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","4103"," - ","NON-TAXABLE SALES-RENTAL TEXT")</f>
        <v xml:space="preserve">          4103 - NON-TAXABLE SALES-RENTAL TEXT</v>
      </c>
      <c r="C38" s="12"/>
      <c r="D38" s="3">
        <f>0</f>
        <v>0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0</v>
      </c>
      <c r="M38" s="3"/>
      <c r="N38" s="20">
        <f t="shared" si="1"/>
        <v>0</v>
      </c>
      <c r="O38" s="12"/>
      <c r="P38" s="3">
        <f>0</f>
        <v>0</v>
      </c>
      <c r="Q38" s="3"/>
      <c r="R38" s="20"/>
      <c r="S38" s="3"/>
      <c r="T38" s="3">
        <f>--1138.95</f>
        <v>1138.95</v>
      </c>
      <c r="U38" s="3"/>
      <c r="V38" s="20"/>
      <c r="W38" s="3"/>
      <c r="X38" s="3">
        <f t="shared" si="2"/>
        <v>-1138.95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","4104"," - ","NON-TAXABLE SALES-DIGITAL TEXT")</f>
        <v xml:space="preserve">          4104 - NON-TAXABLE SALES-DIGITAL TEXT</v>
      </c>
      <c r="C39" s="12"/>
      <c r="D39" s="3">
        <f>0</f>
        <v>0</v>
      </c>
      <c r="E39" s="3"/>
      <c r="F39" s="20"/>
      <c r="G39" s="3"/>
      <c r="H39" s="3">
        <f>--17705.92</f>
        <v>17705.919999999998</v>
      </c>
      <c r="I39" s="3"/>
      <c r="J39" s="20"/>
      <c r="K39" s="3"/>
      <c r="L39" s="3">
        <f t="shared" si="0"/>
        <v>-17705.919999999998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--475874.05</f>
        <v>475874.05</v>
      </c>
      <c r="U39" s="3"/>
      <c r="V39" s="20"/>
      <c r="W39" s="3"/>
      <c r="X39" s="3">
        <f t="shared" si="2"/>
        <v>-475874.05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","4113"," - ","NON-TAXABLE SALES-TRADE BOOKS")</f>
        <v xml:space="preserve">          4113 - NON-TAXABLE SALES-TRADE BOOKS</v>
      </c>
      <c r="C40" s="12"/>
      <c r="D40" s="3">
        <f>0</f>
        <v>0</v>
      </c>
      <c r="E40" s="3"/>
      <c r="F40" s="20"/>
      <c r="G40" s="3"/>
      <c r="H40" s="3">
        <f>--3150</f>
        <v>3150</v>
      </c>
      <c r="I40" s="3"/>
      <c r="J40" s="20"/>
      <c r="K40" s="3"/>
      <c r="L40" s="3">
        <f t="shared" si="0"/>
        <v>-3150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--10139.25</f>
        <v>10139.25</v>
      </c>
      <c r="U40" s="3"/>
      <c r="V40" s="20"/>
      <c r="W40" s="3"/>
      <c r="X40" s="3">
        <f t="shared" si="2"/>
        <v>-10139.25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","4118"," - ","NON-TAXABLE SALES-STUDY GUIDES")</f>
        <v xml:space="preserve">          4118 - NON-TAXABLE SALES-STUDY GUIDES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--771.73</f>
        <v>771.73</v>
      </c>
      <c r="U41" s="3"/>
      <c r="V41" s="20"/>
      <c r="W41" s="3"/>
      <c r="X41" s="3">
        <f t="shared" si="2"/>
        <v>-771.73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","4126"," - ","NON-TAXABLE SALES-WRITING INST")</f>
        <v xml:space="preserve">          4126 - NON-TAXABLE SALES-WRITING INST</v>
      </c>
      <c r="C42" s="12"/>
      <c r="D42" s="3">
        <f>0</f>
        <v>0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0</v>
      </c>
      <c r="M42" s="3"/>
      <c r="N42" s="20">
        <f t="shared" si="1"/>
        <v>0</v>
      </c>
      <c r="O42" s="12"/>
      <c r="P42" s="3">
        <f>0</f>
        <v>0</v>
      </c>
      <c r="Q42" s="3"/>
      <c r="R42" s="20"/>
      <c r="S42" s="3"/>
      <c r="T42" s="3">
        <f>--52.68</f>
        <v>52.68</v>
      </c>
      <c r="U42" s="3"/>
      <c r="V42" s="20"/>
      <c r="W42" s="3"/>
      <c r="X42" s="3">
        <f t="shared" si="2"/>
        <v>-52.68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","4127"," - ","NON-TAXABLE SALES-SCHOOL SUPPL")</f>
        <v xml:space="preserve">          4127 - NON-TAXABLE SALES-SCHOOL SUPPL</v>
      </c>
      <c r="C43" s="12"/>
      <c r="D43" s="3">
        <f>0</f>
        <v>0</v>
      </c>
      <c r="E43" s="3"/>
      <c r="F43" s="20"/>
      <c r="G43" s="3"/>
      <c r="H43" s="3">
        <f>--472.19</f>
        <v>472.19</v>
      </c>
      <c r="I43" s="3"/>
      <c r="J43" s="20"/>
      <c r="K43" s="3"/>
      <c r="L43" s="3">
        <f t="shared" si="0"/>
        <v>-472.19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--6217.36</f>
        <v>6217.36</v>
      </c>
      <c r="U43" s="3"/>
      <c r="V43" s="20"/>
      <c r="W43" s="3"/>
      <c r="X43" s="3">
        <f t="shared" si="2"/>
        <v>-6217.36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","4128"," - ","NON-TAXABLE SALES-ART/TECH")</f>
        <v xml:space="preserve">          4128 - NON-TAXABLE SALES-ART/TECH</v>
      </c>
      <c r="C44" s="12"/>
      <c r="D44" s="3">
        <f>0</f>
        <v>0</v>
      </c>
      <c r="E44" s="3"/>
      <c r="F44" s="20"/>
      <c r="G44" s="3"/>
      <c r="H44" s="3">
        <f>--9.08</f>
        <v>9.08</v>
      </c>
      <c r="I44" s="3"/>
      <c r="J44" s="20"/>
      <c r="K44" s="3"/>
      <c r="L44" s="3">
        <f t="shared" ref="L44:L79" si="4">+D44-H44</f>
        <v>-9.08</v>
      </c>
      <c r="M44" s="3"/>
      <c r="N44" s="20">
        <f t="shared" ref="N44:N79" si="5">IF(H44=0,0,L44/H44)</f>
        <v>-1</v>
      </c>
      <c r="O44" s="12"/>
      <c r="P44" s="3">
        <f>0</f>
        <v>0</v>
      </c>
      <c r="Q44" s="3"/>
      <c r="R44" s="20"/>
      <c r="S44" s="3"/>
      <c r="T44" s="3">
        <f>--38.58</f>
        <v>38.58</v>
      </c>
      <c r="U44" s="3"/>
      <c r="V44" s="20"/>
      <c r="W44" s="3"/>
      <c r="X44" s="3">
        <f t="shared" ref="X44:X79" si="6">+P44-T44</f>
        <v>-38.58</v>
      </c>
      <c r="Y44" s="3"/>
      <c r="Z44" s="20">
        <f t="shared" ref="Z44:Z79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","4131"," - ","NON-TAXABLE SALES-FOOD")</f>
        <v xml:space="preserve">          4131 - NON-TAXABLE SALES-FOOD</v>
      </c>
      <c r="C45" s="12"/>
      <c r="D45" s="3">
        <f>0</f>
        <v>0</v>
      </c>
      <c r="E45" s="3"/>
      <c r="F45" s="20"/>
      <c r="G45" s="3"/>
      <c r="H45" s="3">
        <f>--934.88</f>
        <v>934.88</v>
      </c>
      <c r="I45" s="3"/>
      <c r="J45" s="20"/>
      <c r="K45" s="3"/>
      <c r="L45" s="3">
        <f t="shared" si="4"/>
        <v>-934.88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--9575.15</f>
        <v>9575.15</v>
      </c>
      <c r="U45" s="3"/>
      <c r="V45" s="20"/>
      <c r="W45" s="3"/>
      <c r="X45" s="3">
        <f t="shared" si="6"/>
        <v>-9575.15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","4132"," - ","NON-TAXABLE SALES-JUICE")</f>
        <v xml:space="preserve">          4132 - NON-TAXABLE SALES-JUICE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4"/>
        <v>0</v>
      </c>
      <c r="M46" s="3"/>
      <c r="N46" s="20">
        <f t="shared" si="5"/>
        <v>0</v>
      </c>
      <c r="O46" s="12"/>
      <c r="P46" s="3">
        <f>0</f>
        <v>0</v>
      </c>
      <c r="Q46" s="3"/>
      <c r="R46" s="20"/>
      <c r="S46" s="3"/>
      <c r="T46" s="3">
        <f>--22.49</f>
        <v>22.49</v>
      </c>
      <c r="U46" s="3"/>
      <c r="V46" s="20"/>
      <c r="W46" s="3"/>
      <c r="X46" s="3">
        <f t="shared" si="6"/>
        <v>-22.49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","4133"," - ","NON-TAXABLE SALES-CANDY")</f>
        <v xml:space="preserve">          4133 - NON-TAXABLE SALES-CANDY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--80.71</f>
        <v>80.709999999999994</v>
      </c>
      <c r="U47" s="3"/>
      <c r="V47" s="20"/>
      <c r="W47" s="3"/>
      <c r="X47" s="3">
        <f t="shared" si="6"/>
        <v>-80.709999999999994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","4134"," - ","NON-TAXABLE SALES-SODA")</f>
        <v xml:space="preserve">          4134 - NON-TAXABLE SALES-SODA</v>
      </c>
      <c r="C48" s="12"/>
      <c r="D48" s="3">
        <f>0</f>
        <v>0</v>
      </c>
      <c r="E48" s="3"/>
      <c r="F48" s="20"/>
      <c r="G48" s="3"/>
      <c r="H48" s="3">
        <f>0</f>
        <v>0</v>
      </c>
      <c r="I48" s="3"/>
      <c r="J48" s="20"/>
      <c r="K48" s="3"/>
      <c r="L48" s="3">
        <f t="shared" si="4"/>
        <v>0</v>
      </c>
      <c r="M48" s="3"/>
      <c r="N48" s="20">
        <f t="shared" si="5"/>
        <v>0</v>
      </c>
      <c r="O48" s="12"/>
      <c r="P48" s="3">
        <f>0</f>
        <v>0</v>
      </c>
      <c r="Q48" s="3"/>
      <c r="R48" s="20"/>
      <c r="S48" s="3"/>
      <c r="T48" s="3">
        <f>--45.53</f>
        <v>45.53</v>
      </c>
      <c r="U48" s="3"/>
      <c r="V48" s="20"/>
      <c r="W48" s="3"/>
      <c r="X48" s="3">
        <f t="shared" si="6"/>
        <v>-45.53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","4137"," - ","NON-TAXABLE SALES-WATER")</f>
        <v xml:space="preserve">          4137 - NON-TAXABLE SALES-WATER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--68.25</f>
        <v>68.25</v>
      </c>
      <c r="U49" s="3"/>
      <c r="V49" s="20"/>
      <c r="W49" s="3"/>
      <c r="X49" s="3">
        <f t="shared" si="6"/>
        <v>-68.25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","4140"," - ","NON-TAXABLE SALES-LOGO CLOTHIN")</f>
        <v xml:space="preserve">          4140 - NON-TAXABLE SALES-LOGO CLOTHIN</v>
      </c>
      <c r="C50" s="12"/>
      <c r="D50" s="3">
        <f>0</f>
        <v>0</v>
      </c>
      <c r="E50" s="3"/>
      <c r="F50" s="20"/>
      <c r="G50" s="3"/>
      <c r="H50" s="3">
        <f>--1947.86</f>
        <v>1947.86</v>
      </c>
      <c r="I50" s="3"/>
      <c r="J50" s="20"/>
      <c r="K50" s="3"/>
      <c r="L50" s="3">
        <f t="shared" si="4"/>
        <v>-1947.86</v>
      </c>
      <c r="M50" s="3"/>
      <c r="N50" s="20">
        <f t="shared" si="5"/>
        <v>-1</v>
      </c>
      <c r="O50" s="12"/>
      <c r="P50" s="3">
        <f>0</f>
        <v>0</v>
      </c>
      <c r="Q50" s="3"/>
      <c r="R50" s="20"/>
      <c r="S50" s="3"/>
      <c r="T50" s="3">
        <f>--115125.28</f>
        <v>115125.28</v>
      </c>
      <c r="U50" s="3"/>
      <c r="V50" s="20"/>
      <c r="W50" s="3"/>
      <c r="X50" s="3">
        <f t="shared" si="6"/>
        <v>-115125.28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","4141"," - ","NON-TAXABLE SALES-LOGO GIFTS")</f>
        <v xml:space="preserve">          4141 - NON-TAXABLE SALES-LOGO GIFTS</v>
      </c>
      <c r="C51" s="12"/>
      <c r="D51" s="3">
        <f>0</f>
        <v>0</v>
      </c>
      <c r="E51" s="3"/>
      <c r="F51" s="20"/>
      <c r="G51" s="3"/>
      <c r="H51" s="3">
        <f>--671.25</f>
        <v>671.25</v>
      </c>
      <c r="I51" s="3"/>
      <c r="J51" s="20"/>
      <c r="K51" s="3"/>
      <c r="L51" s="3">
        <f t="shared" si="4"/>
        <v>-671.25</v>
      </c>
      <c r="M51" s="3"/>
      <c r="N51" s="20">
        <f t="shared" si="5"/>
        <v>-1</v>
      </c>
      <c r="O51" s="12"/>
      <c r="P51" s="3">
        <f>0</f>
        <v>0</v>
      </c>
      <c r="Q51" s="3"/>
      <c r="R51" s="20"/>
      <c r="S51" s="3"/>
      <c r="T51" s="3">
        <f>--8513.02</f>
        <v>8513.02</v>
      </c>
      <c r="U51" s="3"/>
      <c r="V51" s="20"/>
      <c r="W51" s="3"/>
      <c r="X51" s="3">
        <f t="shared" si="6"/>
        <v>-8513.02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","4142"," - ","NON-TAXABLE SALES-EVERYDAY GIF")</f>
        <v xml:space="preserve">          4142 - NON-TAXABLE SALES-EVERYDAY GIF</v>
      </c>
      <c r="C52" s="12"/>
      <c r="D52" s="3">
        <f>0</f>
        <v>0</v>
      </c>
      <c r="E52" s="3"/>
      <c r="F52" s="20"/>
      <c r="G52" s="3"/>
      <c r="H52" s="3">
        <f>--4.58</f>
        <v>4.58</v>
      </c>
      <c r="I52" s="3"/>
      <c r="J52" s="20"/>
      <c r="K52" s="3"/>
      <c r="L52" s="3">
        <f t="shared" si="4"/>
        <v>-4.58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--2264.47</f>
        <v>2264.4699999999998</v>
      </c>
      <c r="U52" s="3"/>
      <c r="V52" s="20"/>
      <c r="W52" s="3"/>
      <c r="X52" s="3">
        <f t="shared" si="6"/>
        <v>-2264.4699999999998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","4143"," - ","NON-TAXABLE SALES-CARDS")</f>
        <v xml:space="preserve">          4143 - NON-TAXABLE SALES-CARDS</v>
      </c>
      <c r="C53" s="12"/>
      <c r="D53" s="3">
        <f>0</f>
        <v>0</v>
      </c>
      <c r="E53" s="3"/>
      <c r="F53" s="20"/>
      <c r="G53" s="3"/>
      <c r="H53" s="3">
        <f>--149.92</f>
        <v>149.91999999999999</v>
      </c>
      <c r="I53" s="3"/>
      <c r="J53" s="20"/>
      <c r="K53" s="3"/>
      <c r="L53" s="3">
        <f t="shared" si="4"/>
        <v>-149.91999999999999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--2119.66</f>
        <v>2119.66</v>
      </c>
      <c r="U53" s="3"/>
      <c r="V53" s="20"/>
      <c r="W53" s="3"/>
      <c r="X53" s="3">
        <f t="shared" si="6"/>
        <v>-2119.66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","4144"," - ","NON-TAXABLE SALES-ACCESSORIES")</f>
        <v xml:space="preserve">          4144 - NON-TAXABLE SALES-ACCESSORIES</v>
      </c>
      <c r="C54" s="12"/>
      <c r="D54" s="3">
        <f>0</f>
        <v>0</v>
      </c>
      <c r="E54" s="3"/>
      <c r="F54" s="20"/>
      <c r="G54" s="3"/>
      <c r="H54" s="3">
        <f>--39.95</f>
        <v>39.950000000000003</v>
      </c>
      <c r="I54" s="3"/>
      <c r="J54" s="20"/>
      <c r="K54" s="3"/>
      <c r="L54" s="3">
        <f t="shared" si="4"/>
        <v>-39.950000000000003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--649.35</f>
        <v>649.35</v>
      </c>
      <c r="U54" s="3"/>
      <c r="V54" s="20"/>
      <c r="W54" s="3"/>
      <c r="X54" s="3">
        <f t="shared" si="6"/>
        <v>-649.35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","4145"," - ","NON-TAXABLE SALES-SPECIAL ORDE")</f>
        <v xml:space="preserve">          4145 - NON-TAXABLE SALES-SPECIAL ORDE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--53716.09</f>
        <v>53716.09</v>
      </c>
      <c r="U55" s="3"/>
      <c r="V55" s="20"/>
      <c r="W55" s="3"/>
      <c r="X55" s="3">
        <f t="shared" si="6"/>
        <v>-53716.09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","4146"," - ","NON-TAXABLE SALES-COIN OP MACH")</f>
        <v xml:space="preserve">          4146 - NON-TAXABLE SALES-COIN OP MACH</v>
      </c>
      <c r="C56" s="12"/>
      <c r="D56" s="3">
        <f>0</f>
        <v>0</v>
      </c>
      <c r="E56" s="3"/>
      <c r="F56" s="20"/>
      <c r="G56" s="3"/>
      <c r="H56" s="3">
        <f>--67.8</f>
        <v>67.8</v>
      </c>
      <c r="I56" s="3"/>
      <c r="J56" s="20"/>
      <c r="K56" s="3"/>
      <c r="L56" s="3">
        <f t="shared" si="4"/>
        <v>-67.8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--208.4</f>
        <v>208.4</v>
      </c>
      <c r="U56" s="3"/>
      <c r="V56" s="20"/>
      <c r="W56" s="3"/>
      <c r="X56" s="3">
        <f t="shared" si="6"/>
        <v>-208.4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","4147"," - ","NON-TAXABLE SALES-MISC")</f>
        <v xml:space="preserve">          4147 - NON-TAXABLE SALES-MISC</v>
      </c>
      <c r="C57" s="12"/>
      <c r="D57" s="3">
        <f>0</f>
        <v>0</v>
      </c>
      <c r="E57" s="3"/>
      <c r="F57" s="20"/>
      <c r="G57" s="3"/>
      <c r="H57" s="3">
        <f>--17</f>
        <v>17</v>
      </c>
      <c r="I57" s="3"/>
      <c r="J57" s="20"/>
      <c r="K57" s="3"/>
      <c r="L57" s="3">
        <f t="shared" si="4"/>
        <v>-17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--132.5</f>
        <v>132.5</v>
      </c>
      <c r="U57" s="3"/>
      <c r="V57" s="20"/>
      <c r="W57" s="3"/>
      <c r="X57" s="3">
        <f t="shared" si="6"/>
        <v>-132.5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","4200"," - ","TAXABLE RETURNS")</f>
        <v xml:space="preserve">          4200 - TAXABLE RETURNS</v>
      </c>
      <c r="C58" s="12"/>
      <c r="D58" s="3">
        <f>-18404.3</f>
        <v>-18404.3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-18404.3</v>
      </c>
      <c r="M58" s="3"/>
      <c r="N58" s="20">
        <f t="shared" si="5"/>
        <v>0</v>
      </c>
      <c r="O58" s="12"/>
      <c r="P58" s="3">
        <f>-131513.33</f>
        <v>-131513.32999999999</v>
      </c>
      <c r="Q58" s="3"/>
      <c r="R58" s="20"/>
      <c r="S58" s="3"/>
      <c r="T58" s="3">
        <f>0</f>
        <v>0</v>
      </c>
      <c r="U58" s="3"/>
      <c r="V58" s="20"/>
      <c r="W58" s="3"/>
      <c r="X58" s="3">
        <f t="shared" si="6"/>
        <v>-131513.32999999999</v>
      </c>
      <c r="Y58" s="3"/>
      <c r="Z58" s="20">
        <f t="shared" si="7"/>
        <v>0</v>
      </c>
    </row>
    <row r="59" spans="1:26" s="69" customFormat="1" ht="15" hidden="1" customHeight="1" outlineLevel="1" x14ac:dyDescent="0.3">
      <c r="A59" s="42"/>
      <c r="B59" s="12" t="str">
        <f>CONCATENATE("          ","4201"," - ","SALES RETURN TAXABLE-NEW TEXT")</f>
        <v xml:space="preserve">          4201 - SALES RETURN TAXABLE-NEW TEXT</v>
      </c>
      <c r="C59" s="12"/>
      <c r="D59" s="3">
        <f>0</f>
        <v>0</v>
      </c>
      <c r="E59" s="3"/>
      <c r="F59" s="20"/>
      <c r="G59" s="3"/>
      <c r="H59" s="3">
        <f>-2146.49</f>
        <v>-2146.4899999999998</v>
      </c>
      <c r="I59" s="3"/>
      <c r="J59" s="20"/>
      <c r="K59" s="3"/>
      <c r="L59" s="3">
        <f t="shared" si="4"/>
        <v>2146.4899999999998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-50664.23</f>
        <v>-50664.23</v>
      </c>
      <c r="U59" s="3"/>
      <c r="V59" s="20"/>
      <c r="W59" s="3"/>
      <c r="X59" s="3">
        <f t="shared" si="6"/>
        <v>50664.23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","4202"," - ","SALES RETURN TAXABLE-USED TEXT")</f>
        <v xml:space="preserve">          4202 - SALES RETURN TAXABLE-USED TEXT</v>
      </c>
      <c r="C60" s="12"/>
      <c r="D60" s="3">
        <f>0</f>
        <v>0</v>
      </c>
      <c r="E60" s="3"/>
      <c r="F60" s="20"/>
      <c r="G60" s="3"/>
      <c r="H60" s="3">
        <f>-1199.21</f>
        <v>-1199.21</v>
      </c>
      <c r="I60" s="3"/>
      <c r="J60" s="20"/>
      <c r="K60" s="3"/>
      <c r="L60" s="3">
        <f t="shared" si="4"/>
        <v>1199.21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-19735.51</f>
        <v>-19735.509999999998</v>
      </c>
      <c r="U60" s="3"/>
      <c r="V60" s="20"/>
      <c r="W60" s="3"/>
      <c r="X60" s="3">
        <f t="shared" si="6"/>
        <v>19735.509999999998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","4204"," - ","SALES RETURN TAXABLE-DIGITAL T")</f>
        <v xml:space="preserve">          4204 - SALES RETURN TAXABLE-DIGITAL T</v>
      </c>
      <c r="C61" s="12"/>
      <c r="D61" s="3">
        <f>0</f>
        <v>0</v>
      </c>
      <c r="E61" s="3"/>
      <c r="F61" s="20"/>
      <c r="G61" s="3"/>
      <c r="H61" s="3">
        <f>-132.25</f>
        <v>-132.25</v>
      </c>
      <c r="I61" s="3"/>
      <c r="J61" s="20"/>
      <c r="K61" s="3"/>
      <c r="L61" s="3">
        <f t="shared" si="4"/>
        <v>132.25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-1763.1</f>
        <v>-1763.1</v>
      </c>
      <c r="U61" s="3"/>
      <c r="V61" s="20"/>
      <c r="W61" s="3"/>
      <c r="X61" s="3">
        <f t="shared" si="6"/>
        <v>1763.1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","4213"," - ","NON-TAXABLE SALES-TRADE BOOKS")</f>
        <v xml:space="preserve">          4213 - NON-TAXABLE SALES-TRADE BOOKS</v>
      </c>
      <c r="C62" s="12"/>
      <c r="D62" s="3">
        <f>0</f>
        <v>0</v>
      </c>
      <c r="E62" s="3"/>
      <c r="F62" s="20"/>
      <c r="G62" s="3"/>
      <c r="H62" s="3">
        <f>-69.93</f>
        <v>-69.930000000000007</v>
      </c>
      <c r="I62" s="3"/>
      <c r="J62" s="20"/>
      <c r="K62" s="3"/>
      <c r="L62" s="3">
        <f t="shared" si="4"/>
        <v>69.930000000000007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-69.93</f>
        <v>-69.930000000000007</v>
      </c>
      <c r="U62" s="3"/>
      <c r="V62" s="20"/>
      <c r="W62" s="3"/>
      <c r="X62" s="3">
        <f t="shared" si="6"/>
        <v>69.930000000000007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","4226"," - ","SALES RETURN TAXABLE-WRITING I")</f>
        <v xml:space="preserve">          4226 - SALES RETURN TAXABLE-WRITING I</v>
      </c>
      <c r="C63" s="12"/>
      <c r="D63" s="3">
        <f>0</f>
        <v>0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0</v>
      </c>
      <c r="M63" s="3"/>
      <c r="N63" s="20">
        <f t="shared" si="5"/>
        <v>0</v>
      </c>
      <c r="O63" s="12"/>
      <c r="P63" s="3">
        <f>0</f>
        <v>0</v>
      </c>
      <c r="Q63" s="3"/>
      <c r="R63" s="20"/>
      <c r="S63" s="3"/>
      <c r="T63" s="3">
        <f>-34.23</f>
        <v>-34.229999999999997</v>
      </c>
      <c r="U63" s="3"/>
      <c r="V63" s="20"/>
      <c r="W63" s="3"/>
      <c r="X63" s="3">
        <f t="shared" si="6"/>
        <v>34.229999999999997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","4227"," - ","SALES RETURN TAXABLE-SCHOOL SU")</f>
        <v xml:space="preserve">          4227 - SALES RETURN TAXABLE-SCHOOL SU</v>
      </c>
      <c r="C64" s="12"/>
      <c r="D64" s="3">
        <f>0</f>
        <v>0</v>
      </c>
      <c r="E64" s="3"/>
      <c r="F64" s="20"/>
      <c r="G64" s="3"/>
      <c r="H64" s="3">
        <f>-19.05</f>
        <v>-19.05</v>
      </c>
      <c r="I64" s="3"/>
      <c r="J64" s="20"/>
      <c r="K64" s="3"/>
      <c r="L64" s="3">
        <f t="shared" si="4"/>
        <v>19.05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-781.73</f>
        <v>-781.73</v>
      </c>
      <c r="U64" s="3"/>
      <c r="V64" s="20"/>
      <c r="W64" s="3"/>
      <c r="X64" s="3">
        <f t="shared" si="6"/>
        <v>781.73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","4228"," - ","SALES RETURN TAXABLE-ART/TECH")</f>
        <v xml:space="preserve">          4228 - SALES RETURN TAXABLE-ART/TECH</v>
      </c>
      <c r="C65" s="12"/>
      <c r="D65" s="3">
        <f>0</f>
        <v>0</v>
      </c>
      <c r="E65" s="3"/>
      <c r="F65" s="20"/>
      <c r="G65" s="3"/>
      <c r="H65" s="3">
        <f>-10.71</f>
        <v>-10.71</v>
      </c>
      <c r="I65" s="3"/>
      <c r="J65" s="20"/>
      <c r="K65" s="3"/>
      <c r="L65" s="3">
        <f t="shared" si="4"/>
        <v>10.71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-12739.24</f>
        <v>-12739.24</v>
      </c>
      <c r="U65" s="3"/>
      <c r="V65" s="20"/>
      <c r="W65" s="3"/>
      <c r="X65" s="3">
        <f t="shared" si="6"/>
        <v>12739.24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","4240"," - ","SALES RETURN TAXABLE-LOGO CLOT")</f>
        <v xml:space="preserve">          4240 - SALES RETURN TAXABLE-LOGO CLOT</v>
      </c>
      <c r="C66" s="12"/>
      <c r="D66" s="3">
        <f>0</f>
        <v>0</v>
      </c>
      <c r="E66" s="3"/>
      <c r="F66" s="20"/>
      <c r="G66" s="3"/>
      <c r="H66" s="3">
        <f>-3542.64</f>
        <v>-3542.64</v>
      </c>
      <c r="I66" s="3"/>
      <c r="J66" s="20"/>
      <c r="K66" s="3"/>
      <c r="L66" s="3">
        <f t="shared" si="4"/>
        <v>3542.64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-31129.51</f>
        <v>-31129.51</v>
      </c>
      <c r="U66" s="3"/>
      <c r="V66" s="20"/>
      <c r="W66" s="3"/>
      <c r="X66" s="3">
        <f t="shared" si="6"/>
        <v>31129.51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","4241"," - ","SALES RETURN TAXABLE-LOGO GIFT")</f>
        <v xml:space="preserve">          4241 - SALES RETURN TAXABLE-LOGO GIFT</v>
      </c>
      <c r="C67" s="12"/>
      <c r="D67" s="3">
        <f>0</f>
        <v>0</v>
      </c>
      <c r="E67" s="3"/>
      <c r="F67" s="20"/>
      <c r="G67" s="3"/>
      <c r="H67" s="3">
        <f>-338.05</f>
        <v>-338.05</v>
      </c>
      <c r="I67" s="3"/>
      <c r="J67" s="20"/>
      <c r="K67" s="3"/>
      <c r="L67" s="3">
        <f t="shared" si="4"/>
        <v>338.05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-5295.52</f>
        <v>-5295.52</v>
      </c>
      <c r="U67" s="3"/>
      <c r="V67" s="20"/>
      <c r="W67" s="3"/>
      <c r="X67" s="3">
        <f t="shared" si="6"/>
        <v>5295.52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","4242"," - ","SALES RETURN TAXABLE-EVERYDAY")</f>
        <v xml:space="preserve">          4242 - SALES RETURN TAXABLE-EVERYDAY</v>
      </c>
      <c r="C68" s="12"/>
      <c r="D68" s="3">
        <f>0</f>
        <v>0</v>
      </c>
      <c r="E68" s="3"/>
      <c r="F68" s="20"/>
      <c r="G68" s="3"/>
      <c r="H68" s="3">
        <f>-44.96</f>
        <v>-44.96</v>
      </c>
      <c r="I68" s="3"/>
      <c r="J68" s="20"/>
      <c r="K68" s="3"/>
      <c r="L68" s="3">
        <f t="shared" si="4"/>
        <v>44.96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-1738.74</f>
        <v>-1738.74</v>
      </c>
      <c r="U68" s="3"/>
      <c r="V68" s="20"/>
      <c r="W68" s="3"/>
      <c r="X68" s="3">
        <f t="shared" si="6"/>
        <v>1738.74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","4243"," - ","SALES RETURN TAXABLE-CARDS")</f>
        <v xml:space="preserve">          4243 - SALES RETURN TAXABLE-CARDS</v>
      </c>
      <c r="C69" s="12"/>
      <c r="D69" s="3">
        <f>0</f>
        <v>0</v>
      </c>
      <c r="E69" s="3"/>
      <c r="F69" s="20"/>
      <c r="G69" s="3"/>
      <c r="H69" s="3">
        <f>-369.81</f>
        <v>-369.81</v>
      </c>
      <c r="I69" s="3"/>
      <c r="J69" s="20"/>
      <c r="K69" s="3"/>
      <c r="L69" s="3">
        <f t="shared" si="4"/>
        <v>369.81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-5369.6</f>
        <v>-5369.6</v>
      </c>
      <c r="U69" s="3"/>
      <c r="V69" s="20"/>
      <c r="W69" s="3"/>
      <c r="X69" s="3">
        <f t="shared" si="6"/>
        <v>5369.6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","4244"," - ","SALES RETURN TAXABLE-ACCESSORI")</f>
        <v xml:space="preserve">          4244 - SALES RETURN TAXABLE-ACCESSORI</v>
      </c>
      <c r="C70" s="12"/>
      <c r="D70" s="3">
        <f>0</f>
        <v>0</v>
      </c>
      <c r="E70" s="3"/>
      <c r="F70" s="20"/>
      <c r="G70" s="3"/>
      <c r="H70" s="3">
        <f>-9.99</f>
        <v>-9.99</v>
      </c>
      <c r="I70" s="3"/>
      <c r="J70" s="20"/>
      <c r="K70" s="3"/>
      <c r="L70" s="3">
        <f t="shared" si="4"/>
        <v>9.99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-994.84</f>
        <v>-994.84</v>
      </c>
      <c r="U70" s="3"/>
      <c r="V70" s="20"/>
      <c r="W70" s="3"/>
      <c r="X70" s="3">
        <f t="shared" si="6"/>
        <v>994.84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","4245"," - ","SALES RETURN TAXABLE-SPECIAL O")</f>
        <v xml:space="preserve">          4245 - SALES RETURN TAXABLE-SPECIAL O</v>
      </c>
      <c r="C71" s="12"/>
      <c r="D71" s="3">
        <f>0</f>
        <v>0</v>
      </c>
      <c r="E71" s="3"/>
      <c r="F71" s="20"/>
      <c r="G71" s="3"/>
      <c r="H71" s="3">
        <f>-7.98</f>
        <v>-7.98</v>
      </c>
      <c r="I71" s="3"/>
      <c r="J71" s="20"/>
      <c r="K71" s="3"/>
      <c r="L71" s="3">
        <f t="shared" si="4"/>
        <v>7.98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-11353.59</f>
        <v>-11353.59</v>
      </c>
      <c r="U71" s="3"/>
      <c r="V71" s="20"/>
      <c r="W71" s="3"/>
      <c r="X71" s="3">
        <f t="shared" si="6"/>
        <v>11353.59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","4300"," - ","NON-TAX RETURNS")</f>
        <v xml:space="preserve">          4300 - NON-TAX RETURNS</v>
      </c>
      <c r="C72" s="12"/>
      <c r="D72" s="3">
        <f>-3193.12</f>
        <v>-3193.12</v>
      </c>
      <c r="E72" s="3"/>
      <c r="F72" s="20"/>
      <c r="G72" s="3"/>
      <c r="H72" s="3">
        <f>0</f>
        <v>0</v>
      </c>
      <c r="I72" s="3"/>
      <c r="J72" s="20"/>
      <c r="K72" s="3"/>
      <c r="L72" s="3">
        <f t="shared" si="4"/>
        <v>-3193.12</v>
      </c>
      <c r="M72" s="3"/>
      <c r="N72" s="20">
        <f t="shared" si="5"/>
        <v>0</v>
      </c>
      <c r="O72" s="12"/>
      <c r="P72" s="3">
        <f>-31247.2</f>
        <v>-31247.200000000001</v>
      </c>
      <c r="Q72" s="3"/>
      <c r="R72" s="20"/>
      <c r="S72" s="3"/>
      <c r="T72" s="3">
        <f>0</f>
        <v>0</v>
      </c>
      <c r="U72" s="3"/>
      <c r="V72" s="20"/>
      <c r="W72" s="3"/>
      <c r="X72" s="3">
        <f t="shared" si="6"/>
        <v>-31247.200000000001</v>
      </c>
      <c r="Y72" s="3"/>
      <c r="Z72" s="20">
        <f t="shared" si="7"/>
        <v>0</v>
      </c>
    </row>
    <row r="73" spans="1:26" s="69" customFormat="1" ht="15" hidden="1" customHeight="1" outlineLevel="1" x14ac:dyDescent="0.3">
      <c r="A73" s="42"/>
      <c r="B73" s="12" t="str">
        <f>CONCATENATE("          ","4301"," - ","SALES RETURN NON TAXABLE-NEW T")</f>
        <v xml:space="preserve">          4301 - SALES RETURN NON TAXABLE-NEW T</v>
      </c>
      <c r="C73" s="12"/>
      <c r="D73" s="3">
        <f>0</f>
        <v>0</v>
      </c>
      <c r="E73" s="3"/>
      <c r="F73" s="20"/>
      <c r="G73" s="3"/>
      <c r="H73" s="3">
        <f>-231.5</f>
        <v>-231.5</v>
      </c>
      <c r="I73" s="3"/>
      <c r="J73" s="20"/>
      <c r="K73" s="3"/>
      <c r="L73" s="3">
        <f t="shared" si="4"/>
        <v>231.5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-3237.29</f>
        <v>-3237.29</v>
      </c>
      <c r="U73" s="3"/>
      <c r="V73" s="20"/>
      <c r="W73" s="3"/>
      <c r="X73" s="3">
        <f t="shared" si="6"/>
        <v>3237.29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","4302"," - ","SALES RETURN NON TAXABLE-TEXT")</f>
        <v xml:space="preserve">          4302 - SALES RETURN NON TAXABLE-TEXT</v>
      </c>
      <c r="C74" s="12"/>
      <c r="D74" s="3">
        <f>0</f>
        <v>0</v>
      </c>
      <c r="E74" s="3"/>
      <c r="F74" s="20"/>
      <c r="G74" s="3"/>
      <c r="H74" s="3">
        <f>-70.32</f>
        <v>-70.319999999999993</v>
      </c>
      <c r="I74" s="3"/>
      <c r="J74" s="20"/>
      <c r="K74" s="3"/>
      <c r="L74" s="3">
        <f t="shared" si="4"/>
        <v>70.319999999999993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-2073.48</f>
        <v>-2073.48</v>
      </c>
      <c r="U74" s="3"/>
      <c r="V74" s="20"/>
      <c r="W74" s="3"/>
      <c r="X74" s="3">
        <f t="shared" si="6"/>
        <v>2073.48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","4304"," - ","SALES RETURN NON TAXABLE-DIGIT")</f>
        <v xml:space="preserve">          4304 - SALES RETURN NON TAXABLE-DIGIT</v>
      </c>
      <c r="C75" s="12"/>
      <c r="D75" s="3">
        <f>0</f>
        <v>0</v>
      </c>
      <c r="E75" s="3"/>
      <c r="F75" s="20"/>
      <c r="G75" s="3"/>
      <c r="H75" s="3">
        <f>-2172.95</f>
        <v>-2172.9499999999998</v>
      </c>
      <c r="I75" s="3"/>
      <c r="J75" s="20"/>
      <c r="K75" s="3"/>
      <c r="L75" s="3">
        <f t="shared" si="4"/>
        <v>2172.9499999999998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-27268.72</f>
        <v>-27268.720000000001</v>
      </c>
      <c r="U75" s="3"/>
      <c r="V75" s="20"/>
      <c r="W75" s="3"/>
      <c r="X75" s="3">
        <f t="shared" si="6"/>
        <v>27268.720000000001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","4340"," - ","SALES RETURN NON TAXABLE-LOGO")</f>
        <v xml:space="preserve">          4340 - SALES RETURN NON TAXABLE-LOGO</v>
      </c>
      <c r="C76" s="12"/>
      <c r="D76" s="3">
        <f>0</f>
        <v>0</v>
      </c>
      <c r="E76" s="3"/>
      <c r="F76" s="20"/>
      <c r="G76" s="3"/>
      <c r="H76" s="3">
        <f>-76.9</f>
        <v>-76.900000000000006</v>
      </c>
      <c r="I76" s="3"/>
      <c r="J76" s="20"/>
      <c r="K76" s="3"/>
      <c r="L76" s="3">
        <f t="shared" si="4"/>
        <v>76.900000000000006</v>
      </c>
      <c r="M76" s="3"/>
      <c r="N76" s="20">
        <f t="shared" si="5"/>
        <v>-1</v>
      </c>
      <c r="O76" s="12"/>
      <c r="P76" s="3">
        <f>0</f>
        <v>0</v>
      </c>
      <c r="Q76" s="3"/>
      <c r="R76" s="20"/>
      <c r="S76" s="3"/>
      <c r="T76" s="3">
        <f>-2292.84</f>
        <v>-2292.84</v>
      </c>
      <c r="U76" s="3"/>
      <c r="V76" s="20"/>
      <c r="W76" s="3"/>
      <c r="X76" s="3">
        <f t="shared" si="6"/>
        <v>2292.84</v>
      </c>
      <c r="Y76" s="3"/>
      <c r="Z76" s="20">
        <f t="shared" si="7"/>
        <v>-1</v>
      </c>
    </row>
    <row r="77" spans="1:26" s="69" customFormat="1" ht="15" hidden="1" customHeight="1" outlineLevel="1" x14ac:dyDescent="0.3">
      <c r="A77" s="42"/>
      <c r="B77" s="12" t="str">
        <f>CONCATENATE("          ","4341"," - ","SALES RETURN NON TAXABLE-LOGO")</f>
        <v xml:space="preserve">          4341 - SALES RETURN NON TAXABLE-LOGO</v>
      </c>
      <c r="C77" s="12"/>
      <c r="D77" s="3">
        <f>0</f>
        <v>0</v>
      </c>
      <c r="E77" s="3"/>
      <c r="F77" s="20"/>
      <c r="G77" s="3"/>
      <c r="H77" s="3">
        <f>0</f>
        <v>0</v>
      </c>
      <c r="I77" s="3"/>
      <c r="J77" s="20"/>
      <c r="K77" s="3"/>
      <c r="L77" s="3">
        <f t="shared" si="4"/>
        <v>0</v>
      </c>
      <c r="M77" s="3"/>
      <c r="N77" s="20">
        <f t="shared" si="5"/>
        <v>0</v>
      </c>
      <c r="O77" s="12"/>
      <c r="P77" s="3">
        <f>0</f>
        <v>0</v>
      </c>
      <c r="Q77" s="3"/>
      <c r="R77" s="20"/>
      <c r="S77" s="3"/>
      <c r="T77" s="3">
        <f>-362.64</f>
        <v>-362.64</v>
      </c>
      <c r="U77" s="3"/>
      <c r="V77" s="20"/>
      <c r="W77" s="3"/>
      <c r="X77" s="3">
        <f t="shared" si="6"/>
        <v>362.64</v>
      </c>
      <c r="Y77" s="3"/>
      <c r="Z77" s="20">
        <f t="shared" si="7"/>
        <v>-1</v>
      </c>
    </row>
    <row r="78" spans="1:26" s="69" customFormat="1" ht="15" hidden="1" customHeight="1" outlineLevel="1" x14ac:dyDescent="0.3">
      <c r="A78" s="42"/>
      <c r="B78" s="12" t="str">
        <f>CONCATENATE("          ","4342"," - ","SALES RETURN NON TAXABLE-EVERY")</f>
        <v xml:space="preserve">          4342 - SALES RETURN NON TAXABLE-EVERY</v>
      </c>
      <c r="C78" s="12"/>
      <c r="D78" s="3">
        <f>0</f>
        <v>0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4"/>
        <v>0</v>
      </c>
      <c r="M78" s="3"/>
      <c r="N78" s="20">
        <f t="shared" si="5"/>
        <v>0</v>
      </c>
      <c r="O78" s="12"/>
      <c r="P78" s="3">
        <f>0</f>
        <v>0</v>
      </c>
      <c r="Q78" s="3"/>
      <c r="R78" s="20"/>
      <c r="S78" s="3"/>
      <c r="T78" s="3">
        <f>-118.7</f>
        <v>-118.7</v>
      </c>
      <c r="U78" s="3"/>
      <c r="V78" s="20"/>
      <c r="W78" s="3"/>
      <c r="X78" s="3">
        <f t="shared" si="6"/>
        <v>118.7</v>
      </c>
      <c r="Y78" s="3"/>
      <c r="Z78" s="20">
        <f t="shared" si="7"/>
        <v>-1</v>
      </c>
    </row>
    <row r="79" spans="1:26" s="69" customFormat="1" ht="15" hidden="1" customHeight="1" outlineLevel="1" x14ac:dyDescent="0.3">
      <c r="A79" s="42"/>
      <c r="B79" s="12" t="str">
        <f>CONCATENATE("          ","4500"," - ","SALES DISCOUNT")</f>
        <v xml:space="preserve">          4500 - SALES DISCOUNT</v>
      </c>
      <c r="C79" s="12"/>
      <c r="D79" s="3">
        <f>-12153.15</f>
        <v>-12153.15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4"/>
        <v>-12153.15</v>
      </c>
      <c r="M79" s="3"/>
      <c r="N79" s="20">
        <f t="shared" si="5"/>
        <v>0</v>
      </c>
      <c r="O79" s="12"/>
      <c r="P79" s="3">
        <f>-82547.1</f>
        <v>-82547.100000000006</v>
      </c>
      <c r="Q79" s="3"/>
      <c r="R79" s="20"/>
      <c r="S79" s="3"/>
      <c r="T79" s="3">
        <f>0</f>
        <v>0</v>
      </c>
      <c r="U79" s="3"/>
      <c r="V79" s="20"/>
      <c r="W79" s="3"/>
      <c r="X79" s="3">
        <f t="shared" si="6"/>
        <v>-82547.100000000006</v>
      </c>
      <c r="Y79" s="3"/>
      <c r="Z79" s="20">
        <f t="shared" si="7"/>
        <v>0</v>
      </c>
    </row>
    <row r="80" spans="1:26" ht="15" customHeight="1" x14ac:dyDescent="0.3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collapsed="1" x14ac:dyDescent="0.3">
      <c r="A81" s="11"/>
      <c r="B81" s="27" t="s">
        <v>287</v>
      </c>
      <c r="C81" s="11"/>
      <c r="D81" s="5">
        <f>SUM(OSRRefD16x_0)</f>
        <v>396795.93</v>
      </c>
      <c r="E81" s="5"/>
      <c r="F81" s="13">
        <f t="shared" ref="F81:F122" si="8">IF(D$12=0,0,D81/D$12)</f>
        <v>0.50958434212076542</v>
      </c>
      <c r="G81" s="5"/>
      <c r="H81" s="5">
        <f>SUM(OSRRefH16x_0)</f>
        <v>116310.13999999997</v>
      </c>
      <c r="I81" s="5"/>
      <c r="J81" s="13">
        <f t="shared" ref="J81:J122" si="9">IF(H$12=0,0,H81/H$12)</f>
        <v>0.57340787807542026</v>
      </c>
      <c r="K81" s="5"/>
      <c r="L81" s="5">
        <f t="shared" ref="L81:L122" si="10">+D81-H81</f>
        <v>280485.79000000004</v>
      </c>
      <c r="M81" s="5"/>
      <c r="N81" s="13">
        <f t="shared" ref="N81:N122" si="11">IF(H81=0,0,L81/H81)</f>
        <v>2.4115334226233425</v>
      </c>
      <c r="O81" s="11"/>
      <c r="P81" s="5">
        <f>SUM(OSRRefP16x_0)</f>
        <v>3060272.6399999997</v>
      </c>
      <c r="Q81" s="5"/>
      <c r="R81" s="13">
        <f t="shared" ref="R81:R122" si="12">IF(P$12=0,0,P81/P$12)</f>
        <v>0.58904065766928315</v>
      </c>
      <c r="S81" s="5"/>
      <c r="T81" s="5">
        <f>SUM(OSRRefT16x_0)</f>
        <v>2622526.91</v>
      </c>
      <c r="U81" s="5"/>
      <c r="V81" s="13">
        <f t="shared" ref="V81:V122" si="13">IF(T$12=0,0,T81/T$12)</f>
        <v>0.64273232434764149</v>
      </c>
      <c r="W81" s="5"/>
      <c r="X81" s="5">
        <f t="shared" ref="X81:X122" si="14">+P81-T81</f>
        <v>437745.72999999952</v>
      </c>
      <c r="Y81" s="5"/>
      <c r="Z81" s="13">
        <f t="shared" ref="Z81:Z122" si="15">IF(T81=0,0,X81/T81)</f>
        <v>0.16691753603397705</v>
      </c>
    </row>
    <row r="82" spans="1:26" s="69" customFormat="1" ht="15" hidden="1" customHeight="1" outlineLevel="1" x14ac:dyDescent="0.3">
      <c r="A82" s="42"/>
      <c r="B82" s="12" t="str">
        <f>CONCATENATE("          ","5000"," - ","PURCHASES @ COST")</f>
        <v xml:space="preserve">          5000 - PURCHASES @ COST</v>
      </c>
      <c r="C82" s="12"/>
      <c r="D82" s="3">
        <v>391111.63</v>
      </c>
      <c r="E82" s="3"/>
      <c r="F82" s="20">
        <f t="shared" si="8"/>
        <v>0.50228429174999412</v>
      </c>
      <c r="G82" s="3"/>
      <c r="H82" s="3"/>
      <c r="I82" s="3"/>
      <c r="J82" s="20">
        <f t="shared" si="9"/>
        <v>0</v>
      </c>
      <c r="K82" s="3"/>
      <c r="L82" s="3">
        <f t="shared" si="10"/>
        <v>391111.63</v>
      </c>
      <c r="M82" s="3"/>
      <c r="N82" s="20">
        <f t="shared" si="11"/>
        <v>0</v>
      </c>
      <c r="O82" s="12"/>
      <c r="P82" s="3">
        <v>3411369.97</v>
      </c>
      <c r="Q82" s="3"/>
      <c r="R82" s="20">
        <f t="shared" si="12"/>
        <v>0.65661980060771419</v>
      </c>
      <c r="S82" s="3"/>
      <c r="T82" s="3">
        <v>0</v>
      </c>
      <c r="U82" s="3"/>
      <c r="V82" s="20">
        <f t="shared" si="13"/>
        <v>0</v>
      </c>
      <c r="W82" s="3"/>
      <c r="X82" s="3">
        <f t="shared" si="14"/>
        <v>3411369.97</v>
      </c>
      <c r="Y82" s="3"/>
      <c r="Z82" s="20">
        <f t="shared" si="15"/>
        <v>0</v>
      </c>
    </row>
    <row r="83" spans="1:26" s="69" customFormat="1" ht="15" hidden="1" customHeight="1" outlineLevel="1" x14ac:dyDescent="0.3">
      <c r="A83" s="42"/>
      <c r="B83" s="12" t="str">
        <f>CONCATENATE("          ","5001"," - ","PURCHASES @ COST-NEW TEXT")</f>
        <v xml:space="preserve">          5001 - PURCHASES @ COST-NEW TEXT</v>
      </c>
      <c r="C83" s="12"/>
      <c r="D83" s="3"/>
      <c r="E83" s="3"/>
      <c r="F83" s="20">
        <f t="shared" si="8"/>
        <v>0</v>
      </c>
      <c r="G83" s="3"/>
      <c r="H83" s="3">
        <v>-332593.57</v>
      </c>
      <c r="I83" s="3"/>
      <c r="J83" s="20">
        <f t="shared" si="9"/>
        <v>-1.6396831199345887</v>
      </c>
      <c r="K83" s="3"/>
      <c r="L83" s="3">
        <f t="shared" si="10"/>
        <v>332593.57</v>
      </c>
      <c r="M83" s="3"/>
      <c r="N83" s="20">
        <f t="shared" si="11"/>
        <v>-1</v>
      </c>
      <c r="O83" s="12"/>
      <c r="P83" s="3">
        <v>0</v>
      </c>
      <c r="Q83" s="3"/>
      <c r="R83" s="20">
        <f t="shared" si="12"/>
        <v>0</v>
      </c>
      <c r="S83" s="3"/>
      <c r="T83" s="3">
        <v>1326415.6399999999</v>
      </c>
      <c r="U83" s="3"/>
      <c r="V83" s="20">
        <f t="shared" si="13"/>
        <v>0.32507967948678335</v>
      </c>
      <c r="W83" s="3"/>
      <c r="X83" s="3">
        <f t="shared" si="14"/>
        <v>-1326415.6399999999</v>
      </c>
      <c r="Y83" s="3"/>
      <c r="Z83" s="20">
        <f t="shared" si="15"/>
        <v>-1</v>
      </c>
    </row>
    <row r="84" spans="1:26" s="69" customFormat="1" ht="15" hidden="1" customHeight="1" outlineLevel="1" x14ac:dyDescent="0.3">
      <c r="A84" s="42"/>
      <c r="B84" s="12" t="str">
        <f>CONCATENATE("          ","5002"," - ","PURCHASES @ COST-USED TEXT")</f>
        <v xml:space="preserve">          5002 - PURCHASES @ COST-USED TEXT</v>
      </c>
      <c r="C84" s="12"/>
      <c r="D84" s="3"/>
      <c r="E84" s="3"/>
      <c r="F84" s="20">
        <f t="shared" si="8"/>
        <v>0</v>
      </c>
      <c r="G84" s="3"/>
      <c r="H84" s="3">
        <v>121987.94</v>
      </c>
      <c r="I84" s="3"/>
      <c r="J84" s="20">
        <f t="shared" si="9"/>
        <v>0.60139937778590669</v>
      </c>
      <c r="K84" s="3"/>
      <c r="L84" s="3">
        <f t="shared" si="10"/>
        <v>-121987.94</v>
      </c>
      <c r="M84" s="3"/>
      <c r="N84" s="20">
        <f t="shared" si="11"/>
        <v>-1</v>
      </c>
      <c r="O84" s="12"/>
      <c r="P84" s="3">
        <v>0</v>
      </c>
      <c r="Q84" s="3"/>
      <c r="R84" s="20">
        <f t="shared" si="12"/>
        <v>0</v>
      </c>
      <c r="S84" s="3"/>
      <c r="T84" s="3">
        <v>382324.22</v>
      </c>
      <c r="U84" s="3"/>
      <c r="V84" s="20">
        <f t="shared" si="13"/>
        <v>9.3700519768927362E-2</v>
      </c>
      <c r="W84" s="3"/>
      <c r="X84" s="3">
        <f t="shared" si="14"/>
        <v>-382324.22</v>
      </c>
      <c r="Y84" s="3"/>
      <c r="Z84" s="20">
        <f t="shared" si="15"/>
        <v>-1</v>
      </c>
    </row>
    <row r="85" spans="1:26" s="69" customFormat="1" ht="15" hidden="1" customHeight="1" outlineLevel="1" x14ac:dyDescent="0.3">
      <c r="A85" s="42"/>
      <c r="B85" s="12" t="str">
        <f>CONCATENATE("          ","5003"," - ","PURCHASES @ COST-RENTAL TEXT")</f>
        <v xml:space="preserve">          5003 - PURCHASES @ COST-RENTAL TEXT</v>
      </c>
      <c r="C85" s="12"/>
      <c r="D85" s="3"/>
      <c r="E85" s="3"/>
      <c r="F85" s="20">
        <f t="shared" si="8"/>
        <v>0</v>
      </c>
      <c r="G85" s="3"/>
      <c r="H85" s="3"/>
      <c r="I85" s="3"/>
      <c r="J85" s="20">
        <f t="shared" si="9"/>
        <v>0</v>
      </c>
      <c r="K85" s="3"/>
      <c r="L85" s="3">
        <f t="shared" si="10"/>
        <v>0</v>
      </c>
      <c r="M85" s="3"/>
      <c r="N85" s="20">
        <f t="shared" si="11"/>
        <v>0</v>
      </c>
      <c r="O85" s="12"/>
      <c r="P85" s="3"/>
      <c r="Q85" s="3"/>
      <c r="R85" s="20">
        <f t="shared" si="12"/>
        <v>0</v>
      </c>
      <c r="S85" s="3"/>
      <c r="T85" s="3">
        <v>32.520000000000003</v>
      </c>
      <c r="U85" s="3"/>
      <c r="V85" s="20">
        <f t="shared" si="13"/>
        <v>7.970044123507316E-6</v>
      </c>
      <c r="W85" s="3"/>
      <c r="X85" s="3">
        <f t="shared" si="14"/>
        <v>-32.520000000000003</v>
      </c>
      <c r="Y85" s="3"/>
      <c r="Z85" s="20">
        <f t="shared" si="15"/>
        <v>-1</v>
      </c>
    </row>
    <row r="86" spans="1:26" s="69" customFormat="1" ht="15" hidden="1" customHeight="1" outlineLevel="1" x14ac:dyDescent="0.3">
      <c r="A86" s="42"/>
      <c r="B86" s="12" t="str">
        <f>CONCATENATE("          ","5004"," - ","PURCHASES @ COST-DIGITAL TEXT")</f>
        <v xml:space="preserve">          5004 - PURCHASES @ COST-DIGITAL TEXT</v>
      </c>
      <c r="C86" s="12"/>
      <c r="D86" s="3"/>
      <c r="E86" s="3"/>
      <c r="F86" s="20">
        <f t="shared" si="8"/>
        <v>0</v>
      </c>
      <c r="G86" s="3"/>
      <c r="H86" s="3">
        <v>3282.02</v>
      </c>
      <c r="I86" s="3"/>
      <c r="J86" s="20">
        <f t="shared" si="9"/>
        <v>1.618032721825536E-2</v>
      </c>
      <c r="K86" s="3"/>
      <c r="L86" s="3">
        <f t="shared" si="10"/>
        <v>-3282.02</v>
      </c>
      <c r="M86" s="3"/>
      <c r="N86" s="20">
        <f t="shared" si="11"/>
        <v>-1</v>
      </c>
      <c r="O86" s="12"/>
      <c r="P86" s="3">
        <v>0</v>
      </c>
      <c r="Q86" s="3"/>
      <c r="R86" s="20">
        <f t="shared" si="12"/>
        <v>0</v>
      </c>
      <c r="S86" s="3"/>
      <c r="T86" s="3">
        <v>220008.58</v>
      </c>
      <c r="U86" s="3"/>
      <c r="V86" s="20">
        <f t="shared" si="13"/>
        <v>5.3919990472023033E-2</v>
      </c>
      <c r="W86" s="3"/>
      <c r="X86" s="3">
        <f t="shared" si="14"/>
        <v>-220008.58</v>
      </c>
      <c r="Y86" s="3"/>
      <c r="Z86" s="20">
        <f t="shared" si="15"/>
        <v>-1</v>
      </c>
    </row>
    <row r="87" spans="1:26" s="69" customFormat="1" ht="15" hidden="1" customHeight="1" outlineLevel="1" x14ac:dyDescent="0.3">
      <c r="A87" s="42"/>
      <c r="B87" s="12" t="str">
        <f>CONCATENATE("          ","5011"," - ","PURCHASES @ COST-NO VALUE TEXT")</f>
        <v xml:space="preserve">          5011 - PURCHASES @ COST-NO VALUE TEXT</v>
      </c>
      <c r="C87" s="12"/>
      <c r="D87" s="3"/>
      <c r="E87" s="3"/>
      <c r="F87" s="20">
        <f t="shared" si="8"/>
        <v>0</v>
      </c>
      <c r="G87" s="3"/>
      <c r="H87" s="3"/>
      <c r="I87" s="3"/>
      <c r="J87" s="20">
        <f t="shared" si="9"/>
        <v>0</v>
      </c>
      <c r="K87" s="3"/>
      <c r="L87" s="3">
        <f t="shared" si="10"/>
        <v>0</v>
      </c>
      <c r="M87" s="3"/>
      <c r="N87" s="20">
        <f t="shared" si="11"/>
        <v>0</v>
      </c>
      <c r="O87" s="12"/>
      <c r="P87" s="3"/>
      <c r="Q87" s="3"/>
      <c r="R87" s="20">
        <f t="shared" si="12"/>
        <v>0</v>
      </c>
      <c r="S87" s="3"/>
      <c r="T87" s="3">
        <v>67.17</v>
      </c>
      <c r="U87" s="3"/>
      <c r="V87" s="20">
        <f t="shared" si="13"/>
        <v>1.6462111432225907E-5</v>
      </c>
      <c r="W87" s="3"/>
      <c r="X87" s="3">
        <f t="shared" si="14"/>
        <v>-67.17</v>
      </c>
      <c r="Y87" s="3"/>
      <c r="Z87" s="20">
        <f t="shared" si="15"/>
        <v>-1</v>
      </c>
    </row>
    <row r="88" spans="1:26" s="69" customFormat="1" ht="15" hidden="1" customHeight="1" outlineLevel="1" x14ac:dyDescent="0.3">
      <c r="A88" s="42"/>
      <c r="B88" s="12" t="str">
        <f>CONCATENATE("          ","5013"," - ","PURCHASES @ COST-TRADE BOOKS")</f>
        <v xml:space="preserve">          5013 - PURCHASES @ COST-TRADE BOOKS</v>
      </c>
      <c r="C88" s="12"/>
      <c r="D88" s="3"/>
      <c r="E88" s="3"/>
      <c r="F88" s="20">
        <f t="shared" si="8"/>
        <v>0</v>
      </c>
      <c r="G88" s="3"/>
      <c r="H88" s="3">
        <v>305.11</v>
      </c>
      <c r="I88" s="3"/>
      <c r="J88" s="20">
        <f t="shared" si="9"/>
        <v>1.5041893826246923E-3</v>
      </c>
      <c r="K88" s="3"/>
      <c r="L88" s="3">
        <f t="shared" si="10"/>
        <v>-305.11</v>
      </c>
      <c r="M88" s="3"/>
      <c r="N88" s="20">
        <f t="shared" si="11"/>
        <v>-1</v>
      </c>
      <c r="O88" s="12"/>
      <c r="P88" s="3"/>
      <c r="Q88" s="3"/>
      <c r="R88" s="20">
        <f t="shared" si="12"/>
        <v>0</v>
      </c>
      <c r="S88" s="3"/>
      <c r="T88" s="3">
        <v>5962.09</v>
      </c>
      <c r="U88" s="3"/>
      <c r="V88" s="20">
        <f t="shared" si="13"/>
        <v>1.4611968132940262E-3</v>
      </c>
      <c r="W88" s="3"/>
      <c r="X88" s="3">
        <f t="shared" si="14"/>
        <v>-5962.09</v>
      </c>
      <c r="Y88" s="3"/>
      <c r="Z88" s="20">
        <f t="shared" si="15"/>
        <v>-1</v>
      </c>
    </row>
    <row r="89" spans="1:26" s="69" customFormat="1" ht="15" hidden="1" customHeight="1" outlineLevel="1" x14ac:dyDescent="0.3">
      <c r="A89" s="42"/>
      <c r="B89" s="12" t="str">
        <f>CONCATENATE("          ","5014"," - ","PURCHASES @ COST-REMAINDERS")</f>
        <v xml:space="preserve">          5014 - PURCHASES @ COST-REMAINDERS</v>
      </c>
      <c r="C89" s="12"/>
      <c r="D89" s="3"/>
      <c r="E89" s="3"/>
      <c r="F89" s="20">
        <f t="shared" si="8"/>
        <v>0</v>
      </c>
      <c r="G89" s="3"/>
      <c r="H89" s="3">
        <v>21.16</v>
      </c>
      <c r="I89" s="3"/>
      <c r="J89" s="20">
        <f t="shared" si="9"/>
        <v>1.043185976740798E-4</v>
      </c>
      <c r="K89" s="3"/>
      <c r="L89" s="3">
        <f t="shared" si="10"/>
        <v>-21.16</v>
      </c>
      <c r="M89" s="3"/>
      <c r="N89" s="20">
        <f t="shared" si="11"/>
        <v>-1</v>
      </c>
      <c r="O89" s="12"/>
      <c r="P89" s="3"/>
      <c r="Q89" s="3"/>
      <c r="R89" s="20">
        <f t="shared" si="12"/>
        <v>0</v>
      </c>
      <c r="S89" s="3"/>
      <c r="T89" s="3">
        <v>111.57</v>
      </c>
      <c r="U89" s="3"/>
      <c r="V89" s="20">
        <f t="shared" si="13"/>
        <v>2.7343721490151022E-5</v>
      </c>
      <c r="W89" s="3"/>
      <c r="X89" s="3">
        <f t="shared" si="14"/>
        <v>-111.57</v>
      </c>
      <c r="Y89" s="3"/>
      <c r="Z89" s="20">
        <f t="shared" si="15"/>
        <v>-1</v>
      </c>
    </row>
    <row r="90" spans="1:26" s="69" customFormat="1" ht="15" hidden="1" customHeight="1" outlineLevel="1" x14ac:dyDescent="0.3">
      <c r="A90" s="42"/>
      <c r="B90" s="12" t="str">
        <f>CONCATENATE("          ","5018"," - ","PURCHASES @ COST-STUDY GUIDES")</f>
        <v xml:space="preserve">          5018 - PURCHASES @ COST-STUDY GUIDES</v>
      </c>
      <c r="C90" s="12"/>
      <c r="D90" s="3"/>
      <c r="E90" s="3"/>
      <c r="F90" s="20">
        <f t="shared" si="8"/>
        <v>0</v>
      </c>
      <c r="G90" s="3"/>
      <c r="H90" s="3"/>
      <c r="I90" s="3"/>
      <c r="J90" s="20">
        <f t="shared" si="9"/>
        <v>0</v>
      </c>
      <c r="K90" s="3"/>
      <c r="L90" s="3">
        <f t="shared" si="10"/>
        <v>0</v>
      </c>
      <c r="M90" s="3"/>
      <c r="N90" s="20">
        <f t="shared" si="11"/>
        <v>0</v>
      </c>
      <c r="O90" s="12"/>
      <c r="P90" s="3"/>
      <c r="Q90" s="3"/>
      <c r="R90" s="20">
        <f t="shared" si="12"/>
        <v>0</v>
      </c>
      <c r="S90" s="3"/>
      <c r="T90" s="3">
        <v>522.34</v>
      </c>
      <c r="U90" s="3"/>
      <c r="V90" s="20">
        <f t="shared" si="13"/>
        <v>1.2801577021749115E-4</v>
      </c>
      <c r="W90" s="3"/>
      <c r="X90" s="3">
        <f t="shared" si="14"/>
        <v>-522.34</v>
      </c>
      <c r="Y90" s="3"/>
      <c r="Z90" s="20">
        <f t="shared" si="15"/>
        <v>-1</v>
      </c>
    </row>
    <row r="91" spans="1:26" s="69" customFormat="1" ht="15" hidden="1" customHeight="1" outlineLevel="1" x14ac:dyDescent="0.3">
      <c r="A91" s="42"/>
      <c r="B91" s="12" t="str">
        <f>CONCATENATE("          ","5025"," - ","PURCHASES @ COST-TEST FORMS")</f>
        <v xml:space="preserve">          5025 - PURCHASES @ COST-TEST FORMS</v>
      </c>
      <c r="C91" s="12"/>
      <c r="D91" s="3"/>
      <c r="E91" s="3"/>
      <c r="F91" s="20">
        <f t="shared" si="8"/>
        <v>0</v>
      </c>
      <c r="G91" s="3"/>
      <c r="H91" s="3"/>
      <c r="I91" s="3"/>
      <c r="J91" s="20">
        <f t="shared" si="9"/>
        <v>0</v>
      </c>
      <c r="K91" s="3"/>
      <c r="L91" s="3">
        <f t="shared" si="10"/>
        <v>0</v>
      </c>
      <c r="M91" s="3"/>
      <c r="N91" s="20">
        <f t="shared" si="11"/>
        <v>0</v>
      </c>
      <c r="O91" s="12"/>
      <c r="P91" s="3"/>
      <c r="Q91" s="3"/>
      <c r="R91" s="20">
        <f t="shared" si="12"/>
        <v>0</v>
      </c>
      <c r="S91" s="3"/>
      <c r="T91" s="3">
        <v>599.29</v>
      </c>
      <c r="U91" s="3"/>
      <c r="V91" s="20">
        <f t="shared" si="13"/>
        <v>1.4687477683815187E-4</v>
      </c>
      <c r="W91" s="3"/>
      <c r="X91" s="3">
        <f t="shared" si="14"/>
        <v>-599.29</v>
      </c>
      <c r="Y91" s="3"/>
      <c r="Z91" s="20">
        <f t="shared" si="15"/>
        <v>-1</v>
      </c>
    </row>
    <row r="92" spans="1:26" s="69" customFormat="1" ht="15" hidden="1" customHeight="1" outlineLevel="1" x14ac:dyDescent="0.3">
      <c r="A92" s="42"/>
      <c r="B92" s="12" t="str">
        <f>CONCATENATE("          ","5026"," - ","PURCHASES @ COST-WRITING INSTR")</f>
        <v xml:space="preserve">          5026 - PURCHASES @ COST-WRITING INSTR</v>
      </c>
      <c r="C92" s="12"/>
      <c r="D92" s="3"/>
      <c r="E92" s="3"/>
      <c r="F92" s="20">
        <f t="shared" si="8"/>
        <v>0</v>
      </c>
      <c r="G92" s="3"/>
      <c r="H92" s="3"/>
      <c r="I92" s="3"/>
      <c r="J92" s="20">
        <f t="shared" si="9"/>
        <v>0</v>
      </c>
      <c r="K92" s="3"/>
      <c r="L92" s="3">
        <f t="shared" si="10"/>
        <v>0</v>
      </c>
      <c r="M92" s="3"/>
      <c r="N92" s="20">
        <f t="shared" si="11"/>
        <v>0</v>
      </c>
      <c r="O92" s="12"/>
      <c r="P92" s="3">
        <v>0</v>
      </c>
      <c r="Q92" s="3"/>
      <c r="R92" s="20">
        <f t="shared" si="12"/>
        <v>0</v>
      </c>
      <c r="S92" s="3"/>
      <c r="T92" s="3">
        <v>374.91</v>
      </c>
      <c r="U92" s="3"/>
      <c r="V92" s="20">
        <f t="shared" si="13"/>
        <v>9.1883433036412299E-5</v>
      </c>
      <c r="W92" s="3"/>
      <c r="X92" s="3">
        <f t="shared" si="14"/>
        <v>-374.91</v>
      </c>
      <c r="Y92" s="3"/>
      <c r="Z92" s="20">
        <f t="shared" si="15"/>
        <v>-1</v>
      </c>
    </row>
    <row r="93" spans="1:26" s="69" customFormat="1" ht="15" hidden="1" customHeight="1" outlineLevel="1" x14ac:dyDescent="0.3">
      <c r="A93" s="42"/>
      <c r="B93" s="12" t="str">
        <f>CONCATENATE("          ","5027"," - ","PURCHASES @ COST-SCHOOL SUPPLI")</f>
        <v xml:space="preserve">          5027 - PURCHASES @ COST-SCHOOL SUPPLI</v>
      </c>
      <c r="C93" s="12"/>
      <c r="D93" s="3"/>
      <c r="E93" s="3"/>
      <c r="F93" s="20">
        <f t="shared" si="8"/>
        <v>0</v>
      </c>
      <c r="G93" s="3"/>
      <c r="H93" s="3"/>
      <c r="I93" s="3"/>
      <c r="J93" s="20">
        <f t="shared" si="9"/>
        <v>0</v>
      </c>
      <c r="K93" s="3"/>
      <c r="L93" s="3">
        <f t="shared" si="10"/>
        <v>0</v>
      </c>
      <c r="M93" s="3"/>
      <c r="N93" s="20">
        <f t="shared" si="11"/>
        <v>0</v>
      </c>
      <c r="O93" s="12"/>
      <c r="P93" s="3">
        <v>0</v>
      </c>
      <c r="Q93" s="3"/>
      <c r="R93" s="20">
        <f t="shared" si="12"/>
        <v>0</v>
      </c>
      <c r="S93" s="3"/>
      <c r="T93" s="3">
        <v>19071.349999999999</v>
      </c>
      <c r="U93" s="3"/>
      <c r="V93" s="20">
        <f t="shared" si="13"/>
        <v>4.674031395905635E-3</v>
      </c>
      <c r="W93" s="3"/>
      <c r="X93" s="3">
        <f t="shared" si="14"/>
        <v>-19071.349999999999</v>
      </c>
      <c r="Y93" s="3"/>
      <c r="Z93" s="20">
        <f t="shared" si="15"/>
        <v>-1</v>
      </c>
    </row>
    <row r="94" spans="1:26" s="69" customFormat="1" ht="15" hidden="1" customHeight="1" outlineLevel="1" x14ac:dyDescent="0.3">
      <c r="A94" s="42"/>
      <c r="B94" s="12" t="str">
        <f>CONCATENATE("          ","5028"," - ","PURCHASES @ COST-ART/TECH")</f>
        <v xml:space="preserve">          5028 - PURCHASES @ COST-ART/TECH</v>
      </c>
      <c r="C94" s="12"/>
      <c r="D94" s="3"/>
      <c r="E94" s="3"/>
      <c r="F94" s="20">
        <f t="shared" si="8"/>
        <v>0</v>
      </c>
      <c r="G94" s="3"/>
      <c r="H94" s="3">
        <v>833.13</v>
      </c>
      <c r="I94" s="3"/>
      <c r="J94" s="20">
        <f t="shared" si="9"/>
        <v>4.1073229338471689E-3</v>
      </c>
      <c r="K94" s="3"/>
      <c r="L94" s="3">
        <f t="shared" si="10"/>
        <v>-833.13</v>
      </c>
      <c r="M94" s="3"/>
      <c r="N94" s="20">
        <f t="shared" si="11"/>
        <v>-1</v>
      </c>
      <c r="O94" s="12"/>
      <c r="P94" s="3">
        <v>0</v>
      </c>
      <c r="Q94" s="3"/>
      <c r="R94" s="20">
        <f t="shared" si="12"/>
        <v>0</v>
      </c>
      <c r="S94" s="3"/>
      <c r="T94" s="3">
        <v>42191.58</v>
      </c>
      <c r="U94" s="3"/>
      <c r="V94" s="20">
        <f t="shared" si="13"/>
        <v>1.0340367596570997E-2</v>
      </c>
      <c r="W94" s="3"/>
      <c r="X94" s="3">
        <f t="shared" si="14"/>
        <v>-42191.58</v>
      </c>
      <c r="Y94" s="3"/>
      <c r="Z94" s="20">
        <f t="shared" si="15"/>
        <v>-1</v>
      </c>
    </row>
    <row r="95" spans="1:26" s="69" customFormat="1" ht="15" hidden="1" customHeight="1" outlineLevel="1" x14ac:dyDescent="0.3">
      <c r="A95" s="42"/>
      <c r="B95" s="12" t="str">
        <f>CONCATENATE("          ","5031"," - ","PURCHASES @ COST-FOOD")</f>
        <v xml:space="preserve">          5031 - PURCHASES @ COST-FOOD</v>
      </c>
      <c r="C95" s="12"/>
      <c r="D95" s="3"/>
      <c r="E95" s="3"/>
      <c r="F95" s="20">
        <f t="shared" si="8"/>
        <v>0</v>
      </c>
      <c r="G95" s="3"/>
      <c r="H95" s="3">
        <v>271.45999999999998</v>
      </c>
      <c r="I95" s="3"/>
      <c r="J95" s="20">
        <f t="shared" si="9"/>
        <v>1.3382952043764509E-3</v>
      </c>
      <c r="K95" s="3"/>
      <c r="L95" s="3">
        <f t="shared" si="10"/>
        <v>-271.45999999999998</v>
      </c>
      <c r="M95" s="3"/>
      <c r="N95" s="20">
        <f t="shared" si="11"/>
        <v>-1</v>
      </c>
      <c r="O95" s="12"/>
      <c r="P95" s="3">
        <v>0</v>
      </c>
      <c r="Q95" s="3"/>
      <c r="R95" s="20">
        <f t="shared" si="12"/>
        <v>0</v>
      </c>
      <c r="S95" s="3"/>
      <c r="T95" s="3">
        <v>7785.72</v>
      </c>
      <c r="U95" s="3"/>
      <c r="V95" s="20">
        <f t="shared" si="13"/>
        <v>1.9081344382925393E-3</v>
      </c>
      <c r="W95" s="3"/>
      <c r="X95" s="3">
        <f t="shared" si="14"/>
        <v>-7785.72</v>
      </c>
      <c r="Y95" s="3"/>
      <c r="Z95" s="20">
        <f t="shared" si="15"/>
        <v>-1</v>
      </c>
    </row>
    <row r="96" spans="1:26" s="69" customFormat="1" ht="15" hidden="1" customHeight="1" outlineLevel="1" x14ac:dyDescent="0.3">
      <c r="A96" s="42"/>
      <c r="B96" s="12" t="str">
        <f>CONCATENATE("          ","5040"," - ","PURCHASES @ COST-LOGO CLOTHING")</f>
        <v xml:space="preserve">          5040 - PURCHASES @ COST-LOGO CLOTHING</v>
      </c>
      <c r="C96" s="12"/>
      <c r="D96" s="3"/>
      <c r="E96" s="3"/>
      <c r="F96" s="20">
        <f t="shared" si="8"/>
        <v>0</v>
      </c>
      <c r="G96" s="3"/>
      <c r="H96" s="3">
        <v>26599.9</v>
      </c>
      <c r="I96" s="3"/>
      <c r="J96" s="20">
        <f t="shared" si="9"/>
        <v>0.13113725265929846</v>
      </c>
      <c r="K96" s="3"/>
      <c r="L96" s="3">
        <f t="shared" si="10"/>
        <v>-26599.9</v>
      </c>
      <c r="M96" s="3"/>
      <c r="N96" s="20">
        <f t="shared" si="11"/>
        <v>-1</v>
      </c>
      <c r="O96" s="12"/>
      <c r="P96" s="3">
        <v>0</v>
      </c>
      <c r="Q96" s="3"/>
      <c r="R96" s="20">
        <f t="shared" si="12"/>
        <v>0</v>
      </c>
      <c r="S96" s="3"/>
      <c r="T96" s="3">
        <v>193971.09</v>
      </c>
      <c r="U96" s="3"/>
      <c r="V96" s="20">
        <f t="shared" si="13"/>
        <v>4.7538688375916627E-2</v>
      </c>
      <c r="W96" s="3"/>
      <c r="X96" s="3">
        <f t="shared" si="14"/>
        <v>-193971.09</v>
      </c>
      <c r="Y96" s="3"/>
      <c r="Z96" s="20">
        <f t="shared" si="15"/>
        <v>-1</v>
      </c>
    </row>
    <row r="97" spans="1:26" s="69" customFormat="1" ht="15" hidden="1" customHeight="1" outlineLevel="1" x14ac:dyDescent="0.3">
      <c r="A97" s="42"/>
      <c r="B97" s="12" t="str">
        <f>CONCATENATE("          ","5041"," - ","PURCHASES @ COST-LOGO GIFTS")</f>
        <v xml:space="preserve">          5041 - PURCHASES @ COST-LOGO GIFTS</v>
      </c>
      <c r="C97" s="12"/>
      <c r="D97" s="3"/>
      <c r="E97" s="3"/>
      <c r="F97" s="20">
        <f t="shared" si="8"/>
        <v>0</v>
      </c>
      <c r="G97" s="3"/>
      <c r="H97" s="3">
        <v>26592.81</v>
      </c>
      <c r="I97" s="3"/>
      <c r="J97" s="20">
        <f t="shared" si="9"/>
        <v>0.13110229902709103</v>
      </c>
      <c r="K97" s="3"/>
      <c r="L97" s="3">
        <f t="shared" si="10"/>
        <v>-26592.81</v>
      </c>
      <c r="M97" s="3"/>
      <c r="N97" s="20">
        <f t="shared" si="11"/>
        <v>-1</v>
      </c>
      <c r="O97" s="12"/>
      <c r="P97" s="3">
        <v>0</v>
      </c>
      <c r="Q97" s="3"/>
      <c r="R97" s="20">
        <f t="shared" si="12"/>
        <v>0</v>
      </c>
      <c r="S97" s="3"/>
      <c r="T97" s="3">
        <v>67563.81</v>
      </c>
      <c r="U97" s="3"/>
      <c r="V97" s="20">
        <f t="shared" si="13"/>
        <v>1.6558626901976164E-2</v>
      </c>
      <c r="W97" s="3"/>
      <c r="X97" s="3">
        <f t="shared" si="14"/>
        <v>-67563.81</v>
      </c>
      <c r="Y97" s="3"/>
      <c r="Z97" s="20">
        <f t="shared" si="15"/>
        <v>-1</v>
      </c>
    </row>
    <row r="98" spans="1:26" s="69" customFormat="1" ht="15" hidden="1" customHeight="1" outlineLevel="1" x14ac:dyDescent="0.3">
      <c r="A98" s="42"/>
      <c r="B98" s="12" t="str">
        <f>CONCATENATE("          ","5042"," - ","PURCHASES @ COST-EVERYDAY GIFT")</f>
        <v xml:space="preserve">          5042 - PURCHASES @ COST-EVERYDAY GIFT</v>
      </c>
      <c r="C98" s="12"/>
      <c r="D98" s="3"/>
      <c r="E98" s="3"/>
      <c r="F98" s="20">
        <f t="shared" si="8"/>
        <v>0</v>
      </c>
      <c r="G98" s="3"/>
      <c r="H98" s="3">
        <v>1196.2</v>
      </c>
      <c r="I98" s="3"/>
      <c r="J98" s="20">
        <f t="shared" si="9"/>
        <v>5.8972545622747764E-3</v>
      </c>
      <c r="K98" s="3"/>
      <c r="L98" s="3">
        <f t="shared" si="10"/>
        <v>-1196.2</v>
      </c>
      <c r="M98" s="3"/>
      <c r="N98" s="20">
        <f t="shared" si="11"/>
        <v>-1</v>
      </c>
      <c r="O98" s="12"/>
      <c r="P98" s="3">
        <v>0</v>
      </c>
      <c r="Q98" s="3"/>
      <c r="R98" s="20">
        <f t="shared" si="12"/>
        <v>0</v>
      </c>
      <c r="S98" s="3"/>
      <c r="T98" s="3">
        <v>19018.18</v>
      </c>
      <c r="U98" s="3"/>
      <c r="V98" s="20">
        <f t="shared" si="13"/>
        <v>4.6610004227799623E-3</v>
      </c>
      <c r="W98" s="3"/>
      <c r="X98" s="3">
        <f t="shared" si="14"/>
        <v>-19018.18</v>
      </c>
      <c r="Y98" s="3"/>
      <c r="Z98" s="20">
        <f t="shared" si="15"/>
        <v>-1</v>
      </c>
    </row>
    <row r="99" spans="1:26" s="69" customFormat="1" ht="15" hidden="1" customHeight="1" outlineLevel="1" x14ac:dyDescent="0.3">
      <c r="A99" s="42"/>
      <c r="B99" s="12" t="str">
        <f>CONCATENATE("          ","5043"," - ","PURCHASES @ COST-CARDS")</f>
        <v xml:space="preserve">          5043 - PURCHASES @ COST-CARDS</v>
      </c>
      <c r="C99" s="12"/>
      <c r="D99" s="3"/>
      <c r="E99" s="3"/>
      <c r="F99" s="20">
        <f t="shared" si="8"/>
        <v>0</v>
      </c>
      <c r="G99" s="3"/>
      <c r="H99" s="3"/>
      <c r="I99" s="3"/>
      <c r="J99" s="20">
        <f t="shared" si="9"/>
        <v>0</v>
      </c>
      <c r="K99" s="3"/>
      <c r="L99" s="3">
        <f t="shared" si="10"/>
        <v>0</v>
      </c>
      <c r="M99" s="3"/>
      <c r="N99" s="20">
        <f t="shared" si="11"/>
        <v>0</v>
      </c>
      <c r="O99" s="12"/>
      <c r="P99" s="3">
        <v>0</v>
      </c>
      <c r="Q99" s="3"/>
      <c r="R99" s="20">
        <f t="shared" si="12"/>
        <v>0</v>
      </c>
      <c r="S99" s="3"/>
      <c r="T99" s="3">
        <v>55364.33</v>
      </c>
      <c r="U99" s="3"/>
      <c r="V99" s="20">
        <f t="shared" si="13"/>
        <v>1.3568762391402823E-2</v>
      </c>
      <c r="W99" s="3"/>
      <c r="X99" s="3">
        <f t="shared" si="14"/>
        <v>-55364.33</v>
      </c>
      <c r="Y99" s="3"/>
      <c r="Z99" s="20">
        <f t="shared" si="15"/>
        <v>-1</v>
      </c>
    </row>
    <row r="100" spans="1:26" s="69" customFormat="1" ht="15" hidden="1" customHeight="1" outlineLevel="1" x14ac:dyDescent="0.3">
      <c r="A100" s="42"/>
      <c r="B100" s="12" t="str">
        <f>CONCATENATE("          ","5044"," - ","PURCHASES @ COST-ACCESSORIES")</f>
        <v xml:space="preserve">          5044 - PURCHASES @ COST-ACCESSORIES</v>
      </c>
      <c r="C100" s="12"/>
      <c r="D100" s="3"/>
      <c r="E100" s="3"/>
      <c r="F100" s="20">
        <f t="shared" si="8"/>
        <v>0</v>
      </c>
      <c r="G100" s="3"/>
      <c r="H100" s="3"/>
      <c r="I100" s="3"/>
      <c r="J100" s="20">
        <f t="shared" si="9"/>
        <v>0</v>
      </c>
      <c r="K100" s="3"/>
      <c r="L100" s="3">
        <f t="shared" si="10"/>
        <v>0</v>
      </c>
      <c r="M100" s="3"/>
      <c r="N100" s="20">
        <f t="shared" si="11"/>
        <v>0</v>
      </c>
      <c r="O100" s="12"/>
      <c r="P100" s="3">
        <v>0</v>
      </c>
      <c r="Q100" s="3"/>
      <c r="R100" s="20">
        <f t="shared" si="12"/>
        <v>0</v>
      </c>
      <c r="S100" s="3"/>
      <c r="T100" s="3">
        <v>1064.83</v>
      </c>
      <c r="U100" s="3"/>
      <c r="V100" s="20">
        <f t="shared" si="13"/>
        <v>2.6096992878334239E-4</v>
      </c>
      <c r="W100" s="3"/>
      <c r="X100" s="3">
        <f t="shared" si="14"/>
        <v>-1064.83</v>
      </c>
      <c r="Y100" s="3"/>
      <c r="Z100" s="20">
        <f t="shared" si="15"/>
        <v>-1</v>
      </c>
    </row>
    <row r="101" spans="1:26" s="69" customFormat="1" ht="15" hidden="1" customHeight="1" outlineLevel="1" x14ac:dyDescent="0.3">
      <c r="A101" s="42"/>
      <c r="B101" s="12" t="str">
        <f>CONCATENATE("          ","5045"," - ","PURCHASES @ COST-SPECIAL ORDER")</f>
        <v xml:space="preserve">          5045 - PURCHASES @ COST-SPECIAL ORDER</v>
      </c>
      <c r="C101" s="12"/>
      <c r="D101" s="3"/>
      <c r="E101" s="3"/>
      <c r="F101" s="20">
        <f t="shared" si="8"/>
        <v>0</v>
      </c>
      <c r="G101" s="3"/>
      <c r="H101" s="3">
        <v>1909.13</v>
      </c>
      <c r="I101" s="3"/>
      <c r="J101" s="20">
        <f t="shared" si="9"/>
        <v>9.411992645440263E-3</v>
      </c>
      <c r="K101" s="3"/>
      <c r="L101" s="3">
        <f t="shared" si="10"/>
        <v>-1909.13</v>
      </c>
      <c r="M101" s="3"/>
      <c r="N101" s="20">
        <f t="shared" si="11"/>
        <v>-1</v>
      </c>
      <c r="O101" s="12"/>
      <c r="P101" s="3">
        <v>0</v>
      </c>
      <c r="Q101" s="3"/>
      <c r="R101" s="20">
        <f t="shared" si="12"/>
        <v>0</v>
      </c>
      <c r="S101" s="3"/>
      <c r="T101" s="3">
        <v>95373.51</v>
      </c>
      <c r="U101" s="3"/>
      <c r="V101" s="20">
        <f t="shared" si="13"/>
        <v>2.3374264542243731E-2</v>
      </c>
      <c r="W101" s="3"/>
      <c r="X101" s="3">
        <f t="shared" si="14"/>
        <v>-95373.51</v>
      </c>
      <c r="Y101" s="3"/>
      <c r="Z101" s="20">
        <f t="shared" si="15"/>
        <v>-1</v>
      </c>
    </row>
    <row r="102" spans="1:26" s="69" customFormat="1" ht="15" hidden="1" customHeight="1" outlineLevel="1" x14ac:dyDescent="0.3">
      <c r="A102" s="42"/>
      <c r="B102" s="12" t="str">
        <f>CONCATENATE("          ","5086"," - ","PURCHASES @ COST-COMPUTER SUPP")</f>
        <v xml:space="preserve">          5086 - PURCHASES @ COST-COMPUTER SUPP</v>
      </c>
      <c r="C102" s="12"/>
      <c r="D102" s="3"/>
      <c r="E102" s="3"/>
      <c r="F102" s="20">
        <f t="shared" si="8"/>
        <v>0</v>
      </c>
      <c r="G102" s="3"/>
      <c r="H102" s="3">
        <v>13.21</v>
      </c>
      <c r="I102" s="3"/>
      <c r="J102" s="20">
        <f t="shared" si="9"/>
        <v>6.5125173689725631E-5</v>
      </c>
      <c r="K102" s="3"/>
      <c r="L102" s="3">
        <f t="shared" si="10"/>
        <v>-13.21</v>
      </c>
      <c r="M102" s="3"/>
      <c r="N102" s="20">
        <f t="shared" si="11"/>
        <v>-1</v>
      </c>
      <c r="O102" s="12"/>
      <c r="P102" s="3"/>
      <c r="Q102" s="3"/>
      <c r="R102" s="20">
        <f t="shared" si="12"/>
        <v>0</v>
      </c>
      <c r="S102" s="3"/>
      <c r="T102" s="3">
        <v>13.21</v>
      </c>
      <c r="U102" s="3"/>
      <c r="V102" s="20">
        <f t="shared" si="13"/>
        <v>3.2375240735403336E-6</v>
      </c>
      <c r="W102" s="3"/>
      <c r="X102" s="3">
        <f t="shared" si="14"/>
        <v>-13.21</v>
      </c>
      <c r="Y102" s="3"/>
      <c r="Z102" s="20">
        <f t="shared" si="15"/>
        <v>-1</v>
      </c>
    </row>
    <row r="103" spans="1:26" s="69" customFormat="1" ht="15" hidden="1" customHeight="1" outlineLevel="1" x14ac:dyDescent="0.3">
      <c r="A103" s="42"/>
      <c r="B103" s="12" t="str">
        <f>CONCATENATE("          ","5092"," - ","PURCHASES @ COST-GRAD MERCH")</f>
        <v xml:space="preserve">          5092 - PURCHASES @ COST-GRAD MERCH</v>
      </c>
      <c r="C103" s="12"/>
      <c r="D103" s="3"/>
      <c r="E103" s="3"/>
      <c r="F103" s="20">
        <f t="shared" si="8"/>
        <v>0</v>
      </c>
      <c r="G103" s="3"/>
      <c r="H103" s="3"/>
      <c r="I103" s="3"/>
      <c r="J103" s="20">
        <f t="shared" si="9"/>
        <v>0</v>
      </c>
      <c r="K103" s="3"/>
      <c r="L103" s="3">
        <f t="shared" si="10"/>
        <v>0</v>
      </c>
      <c r="M103" s="3"/>
      <c r="N103" s="20">
        <f t="shared" si="11"/>
        <v>0</v>
      </c>
      <c r="O103" s="12"/>
      <c r="P103" s="3"/>
      <c r="Q103" s="3"/>
      <c r="R103" s="20">
        <f t="shared" si="12"/>
        <v>0</v>
      </c>
      <c r="S103" s="3"/>
      <c r="T103" s="3">
        <v>0</v>
      </c>
      <c r="U103" s="3"/>
      <c r="V103" s="20">
        <f t="shared" si="13"/>
        <v>0</v>
      </c>
      <c r="W103" s="3"/>
      <c r="X103" s="3">
        <f t="shared" si="14"/>
        <v>0</v>
      </c>
      <c r="Y103" s="3"/>
      <c r="Z103" s="20">
        <f t="shared" si="15"/>
        <v>0</v>
      </c>
    </row>
    <row r="104" spans="1:26" s="69" customFormat="1" ht="15" hidden="1" customHeight="1" outlineLevel="1" x14ac:dyDescent="0.3">
      <c r="A104" s="42"/>
      <c r="B104" s="12" t="str">
        <f>CONCATENATE("          ","5200"," - ","PURCHASES OFFSET")</f>
        <v xml:space="preserve">          5200 - PURCHASES OFFSET</v>
      </c>
      <c r="C104" s="12"/>
      <c r="D104" s="3">
        <v>-388061.48</v>
      </c>
      <c r="E104" s="3"/>
      <c r="F104" s="20">
        <f t="shared" si="8"/>
        <v>-0.49836714300020812</v>
      </c>
      <c r="G104" s="3"/>
      <c r="H104" s="3">
        <v>154765.96</v>
      </c>
      <c r="I104" s="3"/>
      <c r="J104" s="20">
        <f t="shared" si="9"/>
        <v>0.76299470297177341</v>
      </c>
      <c r="K104" s="3"/>
      <c r="L104" s="3">
        <f t="shared" si="10"/>
        <v>-542827.43999999994</v>
      </c>
      <c r="M104" s="3"/>
      <c r="N104" s="20">
        <f t="shared" si="11"/>
        <v>-3.5074084766443474</v>
      </c>
      <c r="O104" s="12"/>
      <c r="P104" s="3">
        <v>-3212045.64</v>
      </c>
      <c r="Q104" s="3"/>
      <c r="R104" s="20">
        <f t="shared" si="12"/>
        <v>-0.61825389395676644</v>
      </c>
      <c r="S104" s="3"/>
      <c r="T104" s="3">
        <v>-1981017.44</v>
      </c>
      <c r="U104" s="3"/>
      <c r="V104" s="20">
        <f t="shared" si="13"/>
        <v>-0.48551034459524928</v>
      </c>
      <c r="W104" s="3"/>
      <c r="X104" s="3">
        <f t="shared" si="14"/>
        <v>-1231028.2000000002</v>
      </c>
      <c r="Y104" s="3"/>
      <c r="Z104" s="20">
        <f t="shared" si="15"/>
        <v>0.62141209620042526</v>
      </c>
    </row>
    <row r="105" spans="1:26" s="69" customFormat="1" ht="15" hidden="1" customHeight="1" outlineLevel="1" x14ac:dyDescent="0.3">
      <c r="A105" s="42"/>
      <c r="B105" s="12" t="str">
        <f>CONCATENATE("          ","5300"," - ","COG$ OFFSET")</f>
        <v xml:space="preserve">          5300 - COG$ OFFSET</v>
      </c>
      <c r="C105" s="12"/>
      <c r="D105" s="3">
        <v>362141.86</v>
      </c>
      <c r="E105" s="3"/>
      <c r="F105" s="20">
        <f t="shared" si="8"/>
        <v>0.4650799252968405</v>
      </c>
      <c r="G105" s="3"/>
      <c r="H105" s="3">
        <v>104323</v>
      </c>
      <c r="I105" s="3"/>
      <c r="J105" s="20">
        <f t="shared" si="9"/>
        <v>0.51431139249305424</v>
      </c>
      <c r="K105" s="3"/>
      <c r="L105" s="3">
        <f t="shared" si="10"/>
        <v>257818.86</v>
      </c>
      <c r="M105" s="3"/>
      <c r="N105" s="20">
        <f t="shared" si="11"/>
        <v>2.4713520508420959</v>
      </c>
      <c r="O105" s="12"/>
      <c r="P105" s="3">
        <v>2737158.53</v>
      </c>
      <c r="Q105" s="3"/>
      <c r="R105" s="20">
        <f t="shared" si="12"/>
        <v>0.52684771924644214</v>
      </c>
      <c r="S105" s="3"/>
      <c r="T105" s="3">
        <v>2079913</v>
      </c>
      <c r="U105" s="3"/>
      <c r="V105" s="20">
        <f t="shared" si="13"/>
        <v>0.5097477977569641</v>
      </c>
      <c r="W105" s="3"/>
      <c r="X105" s="3">
        <f t="shared" si="14"/>
        <v>657245.5299999998</v>
      </c>
      <c r="Y105" s="3"/>
      <c r="Z105" s="20">
        <f t="shared" si="15"/>
        <v>0.31599664505198044</v>
      </c>
    </row>
    <row r="106" spans="1:26" s="69" customFormat="1" ht="15" hidden="1" customHeight="1" outlineLevel="1" x14ac:dyDescent="0.3">
      <c r="A106" s="42"/>
      <c r="B106" s="12" t="str">
        <f>CONCATENATE("          ","5500"," - ","FREIGHT-IN")</f>
        <v xml:space="preserve">          5500 - FREIGHT-IN</v>
      </c>
      <c r="C106" s="12"/>
      <c r="D106" s="3">
        <v>31603.919999999998</v>
      </c>
      <c r="E106" s="3"/>
      <c r="F106" s="20">
        <f t="shared" si="8"/>
        <v>4.0587268074139017E-2</v>
      </c>
      <c r="G106" s="3"/>
      <c r="H106" s="3">
        <v>0</v>
      </c>
      <c r="I106" s="3"/>
      <c r="J106" s="20">
        <f t="shared" si="9"/>
        <v>0</v>
      </c>
      <c r="K106" s="3"/>
      <c r="L106" s="3">
        <f t="shared" si="10"/>
        <v>31603.919999999998</v>
      </c>
      <c r="M106" s="3"/>
      <c r="N106" s="20">
        <f t="shared" si="11"/>
        <v>0</v>
      </c>
      <c r="O106" s="12"/>
      <c r="P106" s="3">
        <v>123789.78</v>
      </c>
      <c r="Q106" s="3"/>
      <c r="R106" s="20">
        <f t="shared" si="12"/>
        <v>2.3827031771893329E-2</v>
      </c>
      <c r="S106" s="3"/>
      <c r="T106" s="3">
        <v>0</v>
      </c>
      <c r="U106" s="3"/>
      <c r="V106" s="20">
        <f t="shared" si="13"/>
        <v>0</v>
      </c>
      <c r="W106" s="3"/>
      <c r="X106" s="3">
        <f t="shared" si="14"/>
        <v>123789.78</v>
      </c>
      <c r="Y106" s="3"/>
      <c r="Z106" s="20">
        <f t="shared" si="15"/>
        <v>0</v>
      </c>
    </row>
    <row r="107" spans="1:26" s="69" customFormat="1" ht="15" hidden="1" customHeight="1" outlineLevel="1" x14ac:dyDescent="0.3">
      <c r="A107" s="42"/>
      <c r="B107" s="12" t="str">
        <f>CONCATENATE("          ","5501"," - ","FREIGHT-IN-NEW TEXT")</f>
        <v xml:space="preserve">          5501 - FREIGHT-IN-NEW TEXT</v>
      </c>
      <c r="C107" s="12"/>
      <c r="D107" s="3"/>
      <c r="E107" s="3"/>
      <c r="F107" s="20">
        <f t="shared" si="8"/>
        <v>0</v>
      </c>
      <c r="G107" s="3"/>
      <c r="H107" s="3">
        <v>4638.13</v>
      </c>
      <c r="I107" s="3"/>
      <c r="J107" s="20">
        <f t="shared" si="9"/>
        <v>2.2865936551516055E-2</v>
      </c>
      <c r="K107" s="3"/>
      <c r="L107" s="3">
        <f t="shared" si="10"/>
        <v>-4638.13</v>
      </c>
      <c r="M107" s="3"/>
      <c r="N107" s="20">
        <f t="shared" si="11"/>
        <v>-1</v>
      </c>
      <c r="O107" s="12"/>
      <c r="P107" s="3">
        <v>0</v>
      </c>
      <c r="Q107" s="3"/>
      <c r="R107" s="20">
        <f t="shared" si="12"/>
        <v>0</v>
      </c>
      <c r="S107" s="3"/>
      <c r="T107" s="3">
        <v>49256.92</v>
      </c>
      <c r="U107" s="3"/>
      <c r="V107" s="20">
        <f t="shared" si="13"/>
        <v>1.2071950362486776E-2</v>
      </c>
      <c r="W107" s="3"/>
      <c r="X107" s="3">
        <f t="shared" si="14"/>
        <v>-49256.92</v>
      </c>
      <c r="Y107" s="3"/>
      <c r="Z107" s="20">
        <f t="shared" si="15"/>
        <v>-1</v>
      </c>
    </row>
    <row r="108" spans="1:26" s="69" customFormat="1" ht="15" hidden="1" customHeight="1" outlineLevel="1" x14ac:dyDescent="0.3">
      <c r="A108" s="42"/>
      <c r="B108" s="12" t="str">
        <f>CONCATENATE("          ","5502"," - ","FREIGHT-IN-USED TEXT")</f>
        <v xml:space="preserve">          5502 - FREIGHT-IN-USED TEXT</v>
      </c>
      <c r="C108" s="12"/>
      <c r="D108" s="3"/>
      <c r="E108" s="3"/>
      <c r="F108" s="20">
        <f t="shared" si="8"/>
        <v>0</v>
      </c>
      <c r="G108" s="3"/>
      <c r="H108" s="3">
        <v>1484.45</v>
      </c>
      <c r="I108" s="3"/>
      <c r="J108" s="20">
        <f t="shared" si="9"/>
        <v>7.3183243061100073E-3</v>
      </c>
      <c r="K108" s="3"/>
      <c r="L108" s="3">
        <f t="shared" si="10"/>
        <v>-1484.45</v>
      </c>
      <c r="M108" s="3"/>
      <c r="N108" s="20">
        <f t="shared" si="11"/>
        <v>-1</v>
      </c>
      <c r="O108" s="12"/>
      <c r="P108" s="3">
        <v>0</v>
      </c>
      <c r="Q108" s="3"/>
      <c r="R108" s="20">
        <f t="shared" si="12"/>
        <v>0</v>
      </c>
      <c r="S108" s="3"/>
      <c r="T108" s="3">
        <v>17136.759999999998</v>
      </c>
      <c r="U108" s="3"/>
      <c r="V108" s="20">
        <f t="shared" si="13"/>
        <v>4.1998995490146133E-3</v>
      </c>
      <c r="W108" s="3"/>
      <c r="X108" s="3">
        <f t="shared" si="14"/>
        <v>-17136.759999999998</v>
      </c>
      <c r="Y108" s="3"/>
      <c r="Z108" s="20">
        <f t="shared" si="15"/>
        <v>-1</v>
      </c>
    </row>
    <row r="109" spans="1:26" s="69" customFormat="1" ht="15" hidden="1" customHeight="1" outlineLevel="1" x14ac:dyDescent="0.3">
      <c r="A109" s="42"/>
      <c r="B109" s="12" t="str">
        <f>CONCATENATE("          ","5504"," - ","FREIGHT-IN-DIGITAL TEXT")</f>
        <v xml:space="preserve">          5504 - FREIGHT-IN-DIGITAL TEXT</v>
      </c>
      <c r="C109" s="12"/>
      <c r="D109" s="3"/>
      <c r="E109" s="3"/>
      <c r="F109" s="20">
        <f t="shared" si="8"/>
        <v>0</v>
      </c>
      <c r="G109" s="3"/>
      <c r="H109" s="3">
        <v>6.94</v>
      </c>
      <c r="I109" s="3"/>
      <c r="J109" s="20">
        <f t="shared" si="9"/>
        <v>3.4214133641687799E-5</v>
      </c>
      <c r="K109" s="3"/>
      <c r="L109" s="3">
        <f t="shared" si="10"/>
        <v>-6.94</v>
      </c>
      <c r="M109" s="3"/>
      <c r="N109" s="20">
        <f t="shared" si="11"/>
        <v>-1</v>
      </c>
      <c r="O109" s="12"/>
      <c r="P109" s="3"/>
      <c r="Q109" s="3"/>
      <c r="R109" s="20">
        <f t="shared" si="12"/>
        <v>0</v>
      </c>
      <c r="S109" s="3"/>
      <c r="T109" s="3">
        <v>28.92</v>
      </c>
      <c r="U109" s="3"/>
      <c r="V109" s="20">
        <f t="shared" si="13"/>
        <v>7.0877514161079824E-6</v>
      </c>
      <c r="W109" s="3"/>
      <c r="X109" s="3">
        <f t="shared" si="14"/>
        <v>-28.92</v>
      </c>
      <c r="Y109" s="3"/>
      <c r="Z109" s="20">
        <f t="shared" si="15"/>
        <v>-1</v>
      </c>
    </row>
    <row r="110" spans="1:26" s="69" customFormat="1" ht="15" hidden="1" customHeight="1" outlineLevel="1" x14ac:dyDescent="0.3">
      <c r="A110" s="42"/>
      <c r="B110" s="12" t="str">
        <f>CONCATENATE("          ","5513"," - ","FREIGHT-IN-TRADE BOOKS")</f>
        <v xml:space="preserve">          5513 - FREIGHT-IN-TRADE BOOKS</v>
      </c>
      <c r="C110" s="12"/>
      <c r="D110" s="3"/>
      <c r="E110" s="3"/>
      <c r="F110" s="20">
        <f t="shared" si="8"/>
        <v>0</v>
      </c>
      <c r="G110" s="3"/>
      <c r="H110" s="3"/>
      <c r="I110" s="3"/>
      <c r="J110" s="20">
        <f t="shared" si="9"/>
        <v>0</v>
      </c>
      <c r="K110" s="3"/>
      <c r="L110" s="3">
        <f t="shared" si="10"/>
        <v>0</v>
      </c>
      <c r="M110" s="3"/>
      <c r="N110" s="20">
        <f t="shared" si="11"/>
        <v>0</v>
      </c>
      <c r="O110" s="12"/>
      <c r="P110" s="3"/>
      <c r="Q110" s="3"/>
      <c r="R110" s="20">
        <f t="shared" si="12"/>
        <v>0</v>
      </c>
      <c r="S110" s="3"/>
      <c r="T110" s="3">
        <v>33.520000000000003</v>
      </c>
      <c r="U110" s="3"/>
      <c r="V110" s="20">
        <f t="shared" si="13"/>
        <v>8.2151254311182424E-6</v>
      </c>
      <c r="W110" s="3"/>
      <c r="X110" s="3">
        <f t="shared" si="14"/>
        <v>-33.520000000000003</v>
      </c>
      <c r="Y110" s="3"/>
      <c r="Z110" s="20">
        <f t="shared" si="15"/>
        <v>-1</v>
      </c>
    </row>
    <row r="111" spans="1:26" s="69" customFormat="1" ht="15" hidden="1" customHeight="1" outlineLevel="1" x14ac:dyDescent="0.3">
      <c r="A111" s="42"/>
      <c r="B111" s="12" t="str">
        <f>CONCATENATE("          ","5518"," - ","FREIGHT-IN-STUDY GUIDES")</f>
        <v xml:space="preserve">          5518 - FREIGHT-IN-STUDY GUIDES</v>
      </c>
      <c r="C111" s="12"/>
      <c r="D111" s="3"/>
      <c r="E111" s="3"/>
      <c r="F111" s="20">
        <f t="shared" si="8"/>
        <v>0</v>
      </c>
      <c r="G111" s="3"/>
      <c r="H111" s="3"/>
      <c r="I111" s="3"/>
      <c r="J111" s="20">
        <f t="shared" si="9"/>
        <v>0</v>
      </c>
      <c r="K111" s="3"/>
      <c r="L111" s="3">
        <f t="shared" si="10"/>
        <v>0</v>
      </c>
      <c r="M111" s="3"/>
      <c r="N111" s="20">
        <f t="shared" si="11"/>
        <v>0</v>
      </c>
      <c r="O111" s="12"/>
      <c r="P111" s="3">
        <v>0</v>
      </c>
      <c r="Q111" s="3"/>
      <c r="R111" s="20">
        <f t="shared" si="12"/>
        <v>0</v>
      </c>
      <c r="S111" s="3"/>
      <c r="T111" s="3"/>
      <c r="U111" s="3"/>
      <c r="V111" s="20">
        <f t="shared" si="13"/>
        <v>0</v>
      </c>
      <c r="W111" s="3"/>
      <c r="X111" s="3">
        <f t="shared" si="14"/>
        <v>0</v>
      </c>
      <c r="Y111" s="3"/>
      <c r="Z111" s="20">
        <f t="shared" si="15"/>
        <v>0</v>
      </c>
    </row>
    <row r="112" spans="1:26" s="69" customFormat="1" ht="15" hidden="1" customHeight="1" outlineLevel="1" x14ac:dyDescent="0.3">
      <c r="A112" s="42"/>
      <c r="B112" s="12" t="str">
        <f>CONCATENATE("          ","5525"," - ","FREIGHT-IN-TEST FORMS")</f>
        <v xml:space="preserve">          5525 - FREIGHT-IN-TEST FORMS</v>
      </c>
      <c r="C112" s="12"/>
      <c r="D112" s="3"/>
      <c r="E112" s="3"/>
      <c r="F112" s="20">
        <f t="shared" si="8"/>
        <v>0</v>
      </c>
      <c r="G112" s="3"/>
      <c r="H112" s="3"/>
      <c r="I112" s="3"/>
      <c r="J112" s="20">
        <f t="shared" si="9"/>
        <v>0</v>
      </c>
      <c r="K112" s="3"/>
      <c r="L112" s="3">
        <f t="shared" si="10"/>
        <v>0</v>
      </c>
      <c r="M112" s="3"/>
      <c r="N112" s="20">
        <f t="shared" si="11"/>
        <v>0</v>
      </c>
      <c r="O112" s="12"/>
      <c r="P112" s="3"/>
      <c r="Q112" s="3"/>
      <c r="R112" s="20">
        <f t="shared" si="12"/>
        <v>0</v>
      </c>
      <c r="S112" s="3"/>
      <c r="T112" s="3">
        <v>48.14</v>
      </c>
      <c r="U112" s="3"/>
      <c r="V112" s="20">
        <f t="shared" si="13"/>
        <v>1.1798214148389981E-5</v>
      </c>
      <c r="W112" s="3"/>
      <c r="X112" s="3">
        <f t="shared" si="14"/>
        <v>-48.14</v>
      </c>
      <c r="Y112" s="3"/>
      <c r="Z112" s="20">
        <f t="shared" si="15"/>
        <v>-1</v>
      </c>
    </row>
    <row r="113" spans="1:26" s="69" customFormat="1" ht="15" hidden="1" customHeight="1" outlineLevel="1" x14ac:dyDescent="0.3">
      <c r="A113" s="42"/>
      <c r="B113" s="12" t="str">
        <f>CONCATENATE("          ","5526"," - ","FREIGHT-IN-WRITING INSTRUMENTS")</f>
        <v xml:space="preserve">          5526 - FREIGHT-IN-WRITING INSTRUMENTS</v>
      </c>
      <c r="C113" s="12"/>
      <c r="D113" s="3"/>
      <c r="E113" s="3"/>
      <c r="F113" s="20">
        <f t="shared" si="8"/>
        <v>0</v>
      </c>
      <c r="G113" s="3"/>
      <c r="H113" s="3"/>
      <c r="I113" s="3"/>
      <c r="J113" s="20">
        <f t="shared" si="9"/>
        <v>0</v>
      </c>
      <c r="K113" s="3"/>
      <c r="L113" s="3">
        <f t="shared" si="10"/>
        <v>0</v>
      </c>
      <c r="M113" s="3"/>
      <c r="N113" s="20">
        <f t="shared" si="11"/>
        <v>0</v>
      </c>
      <c r="O113" s="12"/>
      <c r="P113" s="3"/>
      <c r="Q113" s="3"/>
      <c r="R113" s="20">
        <f t="shared" si="12"/>
        <v>0</v>
      </c>
      <c r="S113" s="3"/>
      <c r="T113" s="3">
        <v>0</v>
      </c>
      <c r="U113" s="3"/>
      <c r="V113" s="20">
        <f t="shared" si="13"/>
        <v>0</v>
      </c>
      <c r="W113" s="3"/>
      <c r="X113" s="3">
        <f t="shared" si="14"/>
        <v>0</v>
      </c>
      <c r="Y113" s="3"/>
      <c r="Z113" s="20">
        <f t="shared" si="15"/>
        <v>0</v>
      </c>
    </row>
    <row r="114" spans="1:26" s="69" customFormat="1" ht="15" hidden="1" customHeight="1" outlineLevel="1" x14ac:dyDescent="0.3">
      <c r="A114" s="42"/>
      <c r="B114" s="12" t="str">
        <f>CONCATENATE("          ","5527"," - ","FREIGHT-IN-SCHOOL SUPPLIES")</f>
        <v xml:space="preserve">          5527 - FREIGHT-IN-SCHOOL SUPPLIES</v>
      </c>
      <c r="C114" s="12"/>
      <c r="D114" s="3"/>
      <c r="E114" s="3"/>
      <c r="F114" s="20">
        <f t="shared" si="8"/>
        <v>0</v>
      </c>
      <c r="G114" s="3"/>
      <c r="H114" s="3"/>
      <c r="I114" s="3"/>
      <c r="J114" s="20">
        <f t="shared" si="9"/>
        <v>0</v>
      </c>
      <c r="K114" s="3"/>
      <c r="L114" s="3">
        <f t="shared" si="10"/>
        <v>0</v>
      </c>
      <c r="M114" s="3"/>
      <c r="N114" s="20">
        <f t="shared" si="11"/>
        <v>0</v>
      </c>
      <c r="O114" s="12"/>
      <c r="P114" s="3">
        <v>0</v>
      </c>
      <c r="Q114" s="3"/>
      <c r="R114" s="20">
        <f t="shared" si="12"/>
        <v>0</v>
      </c>
      <c r="S114" s="3"/>
      <c r="T114" s="3">
        <v>177.5</v>
      </c>
      <c r="U114" s="3"/>
      <c r="V114" s="20">
        <f t="shared" si="13"/>
        <v>4.3501932100939377E-5</v>
      </c>
      <c r="W114" s="3"/>
      <c r="X114" s="3">
        <f t="shared" si="14"/>
        <v>-177.5</v>
      </c>
      <c r="Y114" s="3"/>
      <c r="Z114" s="20">
        <f t="shared" si="15"/>
        <v>-1</v>
      </c>
    </row>
    <row r="115" spans="1:26" s="69" customFormat="1" ht="15" hidden="1" customHeight="1" outlineLevel="1" x14ac:dyDescent="0.3">
      <c r="A115" s="42"/>
      <c r="B115" s="12" t="str">
        <f>CONCATENATE("          ","5528"," - ","FREIGHT-IN-ART/TECH")</f>
        <v xml:space="preserve">          5528 - FREIGHT-IN-ART/TECH</v>
      </c>
      <c r="C115" s="12"/>
      <c r="D115" s="3"/>
      <c r="E115" s="3"/>
      <c r="F115" s="20">
        <f t="shared" si="8"/>
        <v>0</v>
      </c>
      <c r="G115" s="3"/>
      <c r="H115" s="3">
        <v>12.76</v>
      </c>
      <c r="I115" s="3"/>
      <c r="J115" s="20">
        <f t="shared" si="9"/>
        <v>6.2906677992498024E-5</v>
      </c>
      <c r="K115" s="3"/>
      <c r="L115" s="3">
        <f t="shared" si="10"/>
        <v>-12.76</v>
      </c>
      <c r="M115" s="3"/>
      <c r="N115" s="20">
        <f t="shared" si="11"/>
        <v>-1</v>
      </c>
      <c r="O115" s="12"/>
      <c r="P115" s="3">
        <v>0</v>
      </c>
      <c r="Q115" s="3"/>
      <c r="R115" s="20">
        <f t="shared" si="12"/>
        <v>0</v>
      </c>
      <c r="S115" s="3"/>
      <c r="T115" s="3">
        <v>351.5</v>
      </c>
      <c r="U115" s="3"/>
      <c r="V115" s="20">
        <f t="shared" si="13"/>
        <v>8.6146079625240522E-5</v>
      </c>
      <c r="W115" s="3"/>
      <c r="X115" s="3">
        <f t="shared" si="14"/>
        <v>-351.5</v>
      </c>
      <c r="Y115" s="3"/>
      <c r="Z115" s="20">
        <f t="shared" si="15"/>
        <v>-1</v>
      </c>
    </row>
    <row r="116" spans="1:26" s="69" customFormat="1" ht="15" hidden="1" customHeight="1" outlineLevel="1" x14ac:dyDescent="0.3">
      <c r="A116" s="42"/>
      <c r="B116" s="12" t="str">
        <f>CONCATENATE("          ","5540"," - ","FREIGHT-IN-LOGO CLOTHING")</f>
        <v xml:space="preserve">          5540 - FREIGHT-IN-LOGO CLOTHING</v>
      </c>
      <c r="C116" s="12"/>
      <c r="D116" s="3"/>
      <c r="E116" s="3"/>
      <c r="F116" s="20">
        <f t="shared" si="8"/>
        <v>0</v>
      </c>
      <c r="G116" s="3"/>
      <c r="H116" s="3">
        <v>150.6</v>
      </c>
      <c r="I116" s="3"/>
      <c r="J116" s="20">
        <f t="shared" si="9"/>
        <v>7.4245656000550178E-4</v>
      </c>
      <c r="K116" s="3"/>
      <c r="L116" s="3">
        <f t="shared" si="10"/>
        <v>-150.6</v>
      </c>
      <c r="M116" s="3"/>
      <c r="N116" s="20">
        <f t="shared" si="11"/>
        <v>-1</v>
      </c>
      <c r="O116" s="12"/>
      <c r="P116" s="3">
        <v>0</v>
      </c>
      <c r="Q116" s="3"/>
      <c r="R116" s="20">
        <f t="shared" si="12"/>
        <v>0</v>
      </c>
      <c r="S116" s="3"/>
      <c r="T116" s="3">
        <v>5941.23</v>
      </c>
      <c r="U116" s="3"/>
      <c r="V116" s="20">
        <f t="shared" si="13"/>
        <v>1.4560844172172623E-3</v>
      </c>
      <c r="W116" s="3"/>
      <c r="X116" s="3">
        <f t="shared" si="14"/>
        <v>-5941.23</v>
      </c>
      <c r="Y116" s="3"/>
      <c r="Z116" s="20">
        <f t="shared" si="15"/>
        <v>-1</v>
      </c>
    </row>
    <row r="117" spans="1:26" s="69" customFormat="1" ht="15" hidden="1" customHeight="1" outlineLevel="1" x14ac:dyDescent="0.3">
      <c r="A117" s="42"/>
      <c r="B117" s="12" t="str">
        <f>CONCATENATE("          ","5541"," - ","FREIGHT-IN-LOGO GIFTS")</f>
        <v xml:space="preserve">          5541 - FREIGHT-IN-LOGO GIFTS</v>
      </c>
      <c r="C117" s="12"/>
      <c r="D117" s="3"/>
      <c r="E117" s="3"/>
      <c r="F117" s="20">
        <f t="shared" si="8"/>
        <v>0</v>
      </c>
      <c r="G117" s="3"/>
      <c r="H117" s="3">
        <v>375.06</v>
      </c>
      <c r="I117" s="3"/>
      <c r="J117" s="20">
        <f t="shared" si="9"/>
        <v>1.8490422137826261E-3</v>
      </c>
      <c r="K117" s="3"/>
      <c r="L117" s="3">
        <f t="shared" si="10"/>
        <v>-375.06</v>
      </c>
      <c r="M117" s="3"/>
      <c r="N117" s="20">
        <f t="shared" si="11"/>
        <v>-1</v>
      </c>
      <c r="O117" s="12"/>
      <c r="P117" s="3">
        <v>0</v>
      </c>
      <c r="Q117" s="3"/>
      <c r="R117" s="20">
        <f t="shared" si="12"/>
        <v>0</v>
      </c>
      <c r="S117" s="3"/>
      <c r="T117" s="3">
        <v>2077.9299999999998</v>
      </c>
      <c r="U117" s="3"/>
      <c r="V117" s="20">
        <f t="shared" si="13"/>
        <v>5.0926180152397155E-4</v>
      </c>
      <c r="W117" s="3"/>
      <c r="X117" s="3">
        <f t="shared" si="14"/>
        <v>-2077.9299999999998</v>
      </c>
      <c r="Y117" s="3"/>
      <c r="Z117" s="20">
        <f t="shared" si="15"/>
        <v>-1</v>
      </c>
    </row>
    <row r="118" spans="1:26" s="69" customFormat="1" ht="15" hidden="1" customHeight="1" outlineLevel="1" x14ac:dyDescent="0.3">
      <c r="A118" s="42"/>
      <c r="B118" s="12" t="str">
        <f>CONCATENATE("          ","5542"," - ","FREIGHT-IN-EVERYDAY GIFTS")</f>
        <v xml:space="preserve">          5542 - FREIGHT-IN-EVERYDAY GIFTS</v>
      </c>
      <c r="C118" s="12"/>
      <c r="D118" s="3"/>
      <c r="E118" s="3"/>
      <c r="F118" s="20">
        <f t="shared" si="8"/>
        <v>0</v>
      </c>
      <c r="G118" s="3"/>
      <c r="H118" s="3"/>
      <c r="I118" s="3"/>
      <c r="J118" s="20">
        <f t="shared" si="9"/>
        <v>0</v>
      </c>
      <c r="K118" s="3"/>
      <c r="L118" s="3">
        <f t="shared" si="10"/>
        <v>0</v>
      </c>
      <c r="M118" s="3"/>
      <c r="N118" s="20">
        <f t="shared" si="11"/>
        <v>0</v>
      </c>
      <c r="O118" s="12"/>
      <c r="P118" s="3">
        <v>0</v>
      </c>
      <c r="Q118" s="3"/>
      <c r="R118" s="20">
        <f t="shared" si="12"/>
        <v>0</v>
      </c>
      <c r="S118" s="3"/>
      <c r="T118" s="3">
        <v>383.93</v>
      </c>
      <c r="U118" s="3"/>
      <c r="V118" s="20">
        <f t="shared" si="13"/>
        <v>9.4094066431062851E-5</v>
      </c>
      <c r="W118" s="3"/>
      <c r="X118" s="3">
        <f t="shared" si="14"/>
        <v>-383.93</v>
      </c>
      <c r="Y118" s="3"/>
      <c r="Z118" s="20">
        <f t="shared" si="15"/>
        <v>-1</v>
      </c>
    </row>
    <row r="119" spans="1:26" s="69" customFormat="1" ht="15" hidden="1" customHeight="1" outlineLevel="1" x14ac:dyDescent="0.3">
      <c r="A119" s="42"/>
      <c r="B119" s="12" t="str">
        <f>CONCATENATE("          ","5543"," - ","FREIGHT-IN-CARDS")</f>
        <v xml:space="preserve">          5543 - FREIGHT-IN-CARDS</v>
      </c>
      <c r="C119" s="12"/>
      <c r="D119" s="3"/>
      <c r="E119" s="3"/>
      <c r="F119" s="20">
        <f t="shared" si="8"/>
        <v>0</v>
      </c>
      <c r="G119" s="3"/>
      <c r="H119" s="3"/>
      <c r="I119" s="3"/>
      <c r="J119" s="20">
        <f t="shared" si="9"/>
        <v>0</v>
      </c>
      <c r="K119" s="3"/>
      <c r="L119" s="3">
        <f t="shared" si="10"/>
        <v>0</v>
      </c>
      <c r="M119" s="3"/>
      <c r="N119" s="20">
        <f t="shared" si="11"/>
        <v>0</v>
      </c>
      <c r="O119" s="12"/>
      <c r="P119" s="3"/>
      <c r="Q119" s="3"/>
      <c r="R119" s="20">
        <f t="shared" si="12"/>
        <v>0</v>
      </c>
      <c r="S119" s="3"/>
      <c r="T119" s="3">
        <v>9110.5300000000007</v>
      </c>
      <c r="U119" s="3"/>
      <c r="V119" s="20">
        <f t="shared" si="13"/>
        <v>2.2328206054285705E-3</v>
      </c>
      <c r="W119" s="3"/>
      <c r="X119" s="3">
        <f t="shared" si="14"/>
        <v>-9110.5300000000007</v>
      </c>
      <c r="Y119" s="3"/>
      <c r="Z119" s="20">
        <f t="shared" si="15"/>
        <v>-1</v>
      </c>
    </row>
    <row r="120" spans="1:26" s="69" customFormat="1" ht="15" hidden="1" customHeight="1" outlineLevel="1" x14ac:dyDescent="0.3">
      <c r="A120" s="42"/>
      <c r="B120" s="12" t="str">
        <f>CONCATENATE("          ","5544"," - ","FREIGHT-IN-ACCESSORIES")</f>
        <v xml:space="preserve">          5544 - FREIGHT-IN-ACCESSORIES</v>
      </c>
      <c r="C120" s="12"/>
      <c r="D120" s="3"/>
      <c r="E120" s="3"/>
      <c r="F120" s="20">
        <f t="shared" si="8"/>
        <v>0</v>
      </c>
      <c r="G120" s="3"/>
      <c r="H120" s="3"/>
      <c r="I120" s="3"/>
      <c r="J120" s="20">
        <f t="shared" si="9"/>
        <v>0</v>
      </c>
      <c r="K120" s="3"/>
      <c r="L120" s="3">
        <f t="shared" si="10"/>
        <v>0</v>
      </c>
      <c r="M120" s="3"/>
      <c r="N120" s="20">
        <f t="shared" si="11"/>
        <v>0</v>
      </c>
      <c r="O120" s="12"/>
      <c r="P120" s="3">
        <v>0</v>
      </c>
      <c r="Q120" s="3"/>
      <c r="R120" s="20">
        <f t="shared" si="12"/>
        <v>0</v>
      </c>
      <c r="S120" s="3"/>
      <c r="T120" s="3"/>
      <c r="U120" s="3"/>
      <c r="V120" s="20">
        <f t="shared" si="13"/>
        <v>0</v>
      </c>
      <c r="W120" s="3"/>
      <c r="X120" s="3">
        <f t="shared" si="14"/>
        <v>0</v>
      </c>
      <c r="Y120" s="3"/>
      <c r="Z120" s="20">
        <f t="shared" si="15"/>
        <v>0</v>
      </c>
    </row>
    <row r="121" spans="1:26" s="69" customFormat="1" ht="15" hidden="1" customHeight="1" outlineLevel="1" x14ac:dyDescent="0.3">
      <c r="A121" s="42"/>
      <c r="B121" s="12" t="str">
        <f>CONCATENATE("          ","5545"," - ","FREIGHT-IN-SPECIAL ORDERS")</f>
        <v xml:space="preserve">          5545 - FREIGHT-IN-SPECIAL ORDERS</v>
      </c>
      <c r="C121" s="12"/>
      <c r="D121" s="3"/>
      <c r="E121" s="3"/>
      <c r="F121" s="20">
        <f t="shared" si="8"/>
        <v>0</v>
      </c>
      <c r="G121" s="3"/>
      <c r="H121" s="3">
        <v>134.74</v>
      </c>
      <c r="I121" s="3"/>
      <c r="J121" s="20">
        <f t="shared" si="9"/>
        <v>6.6426691165432478E-4</v>
      </c>
      <c r="K121" s="3"/>
      <c r="L121" s="3">
        <f t="shared" si="10"/>
        <v>-134.74</v>
      </c>
      <c r="M121" s="3"/>
      <c r="N121" s="20">
        <f t="shared" si="11"/>
        <v>-1</v>
      </c>
      <c r="O121" s="12"/>
      <c r="P121" s="3">
        <v>0</v>
      </c>
      <c r="Q121" s="3"/>
      <c r="R121" s="20">
        <f t="shared" si="12"/>
        <v>0</v>
      </c>
      <c r="S121" s="3"/>
      <c r="T121" s="3">
        <v>1248.53</v>
      </c>
      <c r="U121" s="3"/>
      <c r="V121" s="20">
        <f t="shared" si="13"/>
        <v>3.0599136499146953E-4</v>
      </c>
      <c r="W121" s="3"/>
      <c r="X121" s="3">
        <f t="shared" si="14"/>
        <v>-1248.53</v>
      </c>
      <c r="Y121" s="3"/>
      <c r="Z121" s="20">
        <f t="shared" si="15"/>
        <v>-1</v>
      </c>
    </row>
    <row r="122" spans="1:26" s="69" customFormat="1" ht="15" hidden="1" customHeight="1" outlineLevel="1" x14ac:dyDescent="0.3">
      <c r="A122" s="42"/>
      <c r="B122" s="12" t="str">
        <f>CONCATENATE("          ","5592"," - ","FREIGHT-IN-GRAD MERCH")</f>
        <v xml:space="preserve">          5592 - FREIGHT-IN-GRAD MERCH</v>
      </c>
      <c r="C122" s="12"/>
      <c r="D122" s="3"/>
      <c r="E122" s="3"/>
      <c r="F122" s="20">
        <f t="shared" si="8"/>
        <v>0</v>
      </c>
      <c r="G122" s="3"/>
      <c r="H122" s="3"/>
      <c r="I122" s="3"/>
      <c r="J122" s="20">
        <f t="shared" si="9"/>
        <v>0</v>
      </c>
      <c r="K122" s="3"/>
      <c r="L122" s="3">
        <f t="shared" si="10"/>
        <v>0</v>
      </c>
      <c r="M122" s="3"/>
      <c r="N122" s="20">
        <f t="shared" si="11"/>
        <v>0</v>
      </c>
      <c r="O122" s="12"/>
      <c r="P122" s="3"/>
      <c r="Q122" s="3"/>
      <c r="R122" s="20">
        <f t="shared" si="12"/>
        <v>0</v>
      </c>
      <c r="S122" s="3"/>
      <c r="T122" s="3">
        <v>0</v>
      </c>
      <c r="U122" s="3"/>
      <c r="V122" s="20">
        <f t="shared" si="13"/>
        <v>0</v>
      </c>
      <c r="W122" s="3"/>
      <c r="X122" s="3">
        <f t="shared" si="14"/>
        <v>0</v>
      </c>
      <c r="Y122" s="3"/>
      <c r="Z122" s="20">
        <f t="shared" si="15"/>
        <v>0</v>
      </c>
    </row>
    <row r="123" spans="1:26" ht="15" customHeight="1" x14ac:dyDescent="0.3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2" customFormat="1" ht="15" customHeight="1" x14ac:dyDescent="0.3">
      <c r="A124" s="11"/>
      <c r="B124" s="28" t="s">
        <v>288</v>
      </c>
      <c r="C124" s="28"/>
      <c r="D124" s="23">
        <f>D12-D81</f>
        <v>381869.92999999988</v>
      </c>
      <c r="E124" s="15"/>
      <c r="F124" s="22">
        <f>IF(D$12=0,0,D124/D$12)</f>
        <v>0.49041565787923452</v>
      </c>
      <c r="G124" s="15"/>
      <c r="H124" s="23">
        <f>H12-H81</f>
        <v>86530.010000000053</v>
      </c>
      <c r="I124" s="15"/>
      <c r="J124" s="22">
        <f>IF(H$12=0,0,H124/H$12)</f>
        <v>0.42659212192457974</v>
      </c>
      <c r="K124" s="17"/>
      <c r="L124" s="23">
        <f>+D124-H124</f>
        <v>295339.91999999981</v>
      </c>
      <c r="M124" s="17"/>
      <c r="N124" s="22">
        <f>IF(H124=0,0,L124/H124)</f>
        <v>3.4131501891655813</v>
      </c>
      <c r="O124" s="27"/>
      <c r="P124" s="23">
        <f>P12-P81</f>
        <v>2135077.8000000007</v>
      </c>
      <c r="Q124" s="15"/>
      <c r="R124" s="22">
        <f>IF(P$12=0,0,P124/P$12)</f>
        <v>0.4109593423307169</v>
      </c>
      <c r="S124" s="15"/>
      <c r="T124" s="23">
        <f>T12-T81</f>
        <v>1457751.6299999985</v>
      </c>
      <c r="U124" s="15"/>
      <c r="V124" s="22">
        <f>IF(T$12=0,0,T124/T$12)</f>
        <v>0.35726767565235851</v>
      </c>
      <c r="W124" s="17"/>
      <c r="X124" s="23">
        <f>+P124-T124</f>
        <v>677326.17000000225</v>
      </c>
      <c r="Y124" s="17"/>
      <c r="Z124" s="22">
        <f>IF(T124=0,0,X124/T124)</f>
        <v>0.46463756655171978</v>
      </c>
    </row>
    <row r="125" spans="1:26" ht="15" customHeight="1" x14ac:dyDescent="0.3">
      <c r="A125" s="10"/>
      <c r="B125" s="11"/>
      <c r="C125" s="10"/>
      <c r="D125" s="2"/>
      <c r="E125" s="2"/>
      <c r="F125" s="6"/>
      <c r="G125" s="2"/>
      <c r="H125" s="2"/>
      <c r="I125" s="2"/>
      <c r="J125" s="6"/>
      <c r="K125" s="2"/>
      <c r="L125" s="2"/>
      <c r="M125" s="2"/>
      <c r="N125" s="6"/>
      <c r="O125" s="36"/>
      <c r="P125" s="2"/>
      <c r="Q125" s="2"/>
      <c r="R125" s="6"/>
      <c r="S125" s="2"/>
      <c r="T125" s="2"/>
      <c r="U125" s="2"/>
      <c r="V125" s="6"/>
      <c r="W125" s="2"/>
      <c r="X125" s="2"/>
      <c r="Y125" s="2"/>
      <c r="Z125" s="6"/>
    </row>
    <row r="126" spans="1:26" s="62" customFormat="1" ht="15" customHeight="1" x14ac:dyDescent="0.3">
      <c r="A126" s="11"/>
      <c r="B126" s="27" t="s">
        <v>289</v>
      </c>
      <c r="C126" s="11"/>
      <c r="D126" s="21" cm="1">
        <f t="array" ref="D126">SUM(OSRRefD22x_0)</f>
        <v>312441.66000000009</v>
      </c>
      <c r="E126" s="21"/>
      <c r="F126" s="30">
        <f t="shared" ref="F126:F157" si="16">IF(D$12=0,0,D126/D$12)</f>
        <v>0.40125254753046469</v>
      </c>
      <c r="G126" s="21"/>
      <c r="H126" s="21" cm="1">
        <f t="array" ref="H126">SUM(OSRRefH22x_0)</f>
        <v>249679.34000000005</v>
      </c>
      <c r="I126" s="21"/>
      <c r="J126" s="30">
        <f t="shared" ref="J126:J157" si="17">IF(H$12=0,0,H126/H$12)</f>
        <v>1.2309167588369463</v>
      </c>
      <c r="K126" s="5"/>
      <c r="L126" s="21">
        <f t="shared" ref="L126:L157" si="18">+D126-H126</f>
        <v>62762.320000000036</v>
      </c>
      <c r="M126" s="5"/>
      <c r="N126" s="30">
        <f t="shared" ref="N126:N157" si="19">IF(H126=0,0,L126/H126)</f>
        <v>0.25137169939651405</v>
      </c>
      <c r="O126" s="11"/>
      <c r="P126" s="21" cm="1">
        <f t="array" ref="P126">SUM(OSRRefP22x_0)</f>
        <v>2537698.3899999997</v>
      </c>
      <c r="Q126" s="21"/>
      <c r="R126" s="30">
        <f t="shared" ref="R126:R157" si="20">IF(P$12=0,0,P126/P$12)</f>
        <v>0.48845567191421246</v>
      </c>
      <c r="S126" s="21"/>
      <c r="T126" s="21" cm="1">
        <f t="array" ref="T126">SUM(OSRRefT22x_0)</f>
        <v>2156074.7799999998</v>
      </c>
      <c r="U126" s="21"/>
      <c r="V126" s="30">
        <f t="shared" ref="V126:V157" si="21">IF(T$12=0,0,T126/T$12)</f>
        <v>0.52841362638933975</v>
      </c>
      <c r="W126" s="5"/>
      <c r="X126" s="21">
        <f t="shared" ref="X126:X157" si="22">+P126-T126</f>
        <v>381623.60999999987</v>
      </c>
      <c r="Y126" s="5"/>
      <c r="Z126" s="30">
        <f t="shared" ref="Z126:Z157" si="23">IF(T126=0,0,X126/T126)</f>
        <v>0.17699924582393189</v>
      </c>
    </row>
    <row r="127" spans="1:26" s="68" customFormat="1" ht="15" customHeight="1" outlineLevel="1" collapsed="1" x14ac:dyDescent="0.3">
      <c r="A127" s="25"/>
      <c r="B127" s="14" t="str">
        <f>CONCATENATE("     ","*Benefits                                         ")</f>
        <v xml:space="preserve">     *Benefits                                         </v>
      </c>
      <c r="C127" s="14"/>
      <c r="D127" s="2">
        <f>SUM(OSRRefD22_0x_0)</f>
        <v>20443.749999999993</v>
      </c>
      <c r="E127" s="2"/>
      <c r="F127" s="6">
        <f t="shared" si="16"/>
        <v>2.625484312359604E-2</v>
      </c>
      <c r="G127" s="2"/>
      <c r="H127" s="2">
        <f>SUM(OSRRefH22_0x_0)</f>
        <v>45174.219999999994</v>
      </c>
      <c r="I127" s="2"/>
      <c r="J127" s="6">
        <f t="shared" si="17"/>
        <v>0.22270847265691723</v>
      </c>
      <c r="K127" s="2"/>
      <c r="L127" s="2">
        <f t="shared" si="18"/>
        <v>-24730.47</v>
      </c>
      <c r="M127" s="2"/>
      <c r="N127" s="6">
        <f t="shared" si="19"/>
        <v>-0.54744653034407686</v>
      </c>
      <c r="O127" s="14"/>
      <c r="P127" s="2">
        <f>SUM(OSRRefP22_0x_0)</f>
        <v>379847.04000000004</v>
      </c>
      <c r="Q127" s="2"/>
      <c r="R127" s="6">
        <f t="shared" si="20"/>
        <v>7.3112881293913259E-2</v>
      </c>
      <c r="S127" s="2"/>
      <c r="T127" s="2">
        <f>SUM(OSRRefT22_0x_0)</f>
        <v>364629.69</v>
      </c>
      <c r="U127" s="2"/>
      <c r="V127" s="6">
        <f t="shared" si="21"/>
        <v>8.9363921218966622E-2</v>
      </c>
      <c r="W127" s="2"/>
      <c r="X127" s="2">
        <f t="shared" si="22"/>
        <v>15217.350000000035</v>
      </c>
      <c r="Y127" s="2"/>
      <c r="Z127" s="6">
        <f t="shared" si="23"/>
        <v>4.1733710713463941E-2</v>
      </c>
    </row>
    <row r="128" spans="1:26" s="69" customFormat="1" ht="15" hidden="1" customHeight="1" outlineLevel="2" x14ac:dyDescent="0.3">
      <c r="A128" s="26"/>
      <c r="B128" s="12" t="str">
        <f>CONCATENATE("          ","6111"," - ","F.I.C.A.")</f>
        <v xml:space="preserve">          6111 - F.I.C.A.</v>
      </c>
      <c r="C128" s="12"/>
      <c r="D128" s="8">
        <v>8104.13</v>
      </c>
      <c r="E128" s="3"/>
      <c r="F128" s="7">
        <f t="shared" si="16"/>
        <v>1.0407711980592036E-2</v>
      </c>
      <c r="G128" s="3"/>
      <c r="H128" s="8">
        <v>7541.13</v>
      </c>
      <c r="I128" s="3"/>
      <c r="J128" s="7">
        <f t="shared" si="17"/>
        <v>3.7177698793853187E-2</v>
      </c>
      <c r="K128" s="3"/>
      <c r="L128" s="8">
        <f t="shared" si="18"/>
        <v>563</v>
      </c>
      <c r="M128" s="3"/>
      <c r="N128" s="7">
        <f t="shared" si="19"/>
        <v>7.4657246327804988E-2</v>
      </c>
      <c r="O128" s="12"/>
      <c r="P128" s="8">
        <v>71060.55</v>
      </c>
      <c r="Q128" s="3"/>
      <c r="R128" s="7">
        <f t="shared" si="20"/>
        <v>1.3677720265584239E-2</v>
      </c>
      <c r="S128" s="3"/>
      <c r="T128" s="8">
        <v>70989.84</v>
      </c>
      <c r="U128" s="3"/>
      <c r="V128" s="7">
        <f t="shared" si="21"/>
        <v>1.7398282814290424E-2</v>
      </c>
      <c r="W128" s="3"/>
      <c r="X128" s="8">
        <f t="shared" si="22"/>
        <v>70.710000000006403</v>
      </c>
      <c r="Y128" s="3"/>
      <c r="Z128" s="7">
        <f t="shared" si="23"/>
        <v>9.9605802745866747E-4</v>
      </c>
    </row>
    <row r="129" spans="1:26" s="69" customFormat="1" ht="15" hidden="1" customHeight="1" outlineLevel="2" x14ac:dyDescent="0.3">
      <c r="A129" s="26"/>
      <c r="B129" s="12" t="str">
        <f>CONCATENATE("          ","6112"," - ","COMPENSATION INSURANCE")</f>
        <v xml:space="preserve">          6112 - COMPENSATION INSURANCE</v>
      </c>
      <c r="C129" s="12"/>
      <c r="D129" s="8">
        <v>2747.99</v>
      </c>
      <c r="E129" s="3"/>
      <c r="F129" s="7">
        <f t="shared" si="16"/>
        <v>3.5291004025783282E-3</v>
      </c>
      <c r="G129" s="3"/>
      <c r="H129" s="8">
        <v>1772.31</v>
      </c>
      <c r="I129" s="3"/>
      <c r="J129" s="7">
        <f t="shared" si="17"/>
        <v>8.7374713536743087E-3</v>
      </c>
      <c r="K129" s="3"/>
      <c r="L129" s="8">
        <f t="shared" si="18"/>
        <v>975.67999999999984</v>
      </c>
      <c r="M129" s="3"/>
      <c r="N129" s="7">
        <f t="shared" si="19"/>
        <v>0.55051317207486272</v>
      </c>
      <c r="O129" s="12"/>
      <c r="P129" s="8">
        <v>19890.8</v>
      </c>
      <c r="Q129" s="3"/>
      <c r="R129" s="7">
        <f t="shared" si="20"/>
        <v>3.8285771536905214E-3</v>
      </c>
      <c r="S129" s="3"/>
      <c r="T129" s="8">
        <v>18261.88</v>
      </c>
      <c r="U129" s="3"/>
      <c r="V129" s="7">
        <f t="shared" si="21"/>
        <v>4.475645429833819E-3</v>
      </c>
      <c r="W129" s="3"/>
      <c r="X129" s="8">
        <f t="shared" si="22"/>
        <v>1628.9199999999983</v>
      </c>
      <c r="Y129" s="3"/>
      <c r="Z129" s="7">
        <f t="shared" si="23"/>
        <v>8.9197826291707E-2</v>
      </c>
    </row>
    <row r="130" spans="1:26" s="69" customFormat="1" ht="15" hidden="1" customHeight="1" outlineLevel="2" x14ac:dyDescent="0.3">
      <c r="A130" s="26"/>
      <c r="B130" s="12" t="str">
        <f>CONCATENATE("          ","6113"," - ","GROUP INSURANCE")</f>
        <v xml:space="preserve">          6113 - GROUP INSURANCE</v>
      </c>
      <c r="C130" s="12"/>
      <c r="D130" s="8">
        <v>14173.69</v>
      </c>
      <c r="E130" s="3"/>
      <c r="F130" s="7">
        <f t="shared" si="16"/>
        <v>1.8202531699540548E-2</v>
      </c>
      <c r="G130" s="3"/>
      <c r="H130" s="8">
        <v>18287.8</v>
      </c>
      <c r="I130" s="3"/>
      <c r="J130" s="7">
        <f t="shared" si="17"/>
        <v>9.0158679137241793E-2</v>
      </c>
      <c r="K130" s="3"/>
      <c r="L130" s="8">
        <f t="shared" si="18"/>
        <v>-4114.1099999999988</v>
      </c>
      <c r="M130" s="3"/>
      <c r="N130" s="7">
        <f t="shared" si="19"/>
        <v>-0.22496473058541755</v>
      </c>
      <c r="O130" s="12"/>
      <c r="P130" s="8">
        <v>136034.01999999999</v>
      </c>
      <c r="Q130" s="3"/>
      <c r="R130" s="7">
        <f t="shared" si="20"/>
        <v>2.6183800606143514E-2</v>
      </c>
      <c r="S130" s="3"/>
      <c r="T130" s="8">
        <v>128305.79</v>
      </c>
      <c r="U130" s="3"/>
      <c r="V130" s="7">
        <f t="shared" si="21"/>
        <v>3.1445350787252878E-2</v>
      </c>
      <c r="W130" s="3"/>
      <c r="X130" s="8">
        <f t="shared" si="22"/>
        <v>7728.2299999999959</v>
      </c>
      <c r="Y130" s="3"/>
      <c r="Z130" s="7">
        <f t="shared" si="23"/>
        <v>6.0232901414659437E-2</v>
      </c>
    </row>
    <row r="131" spans="1:26" s="69" customFormat="1" ht="15" hidden="1" customHeight="1" outlineLevel="2" x14ac:dyDescent="0.3">
      <c r="A131" s="26"/>
      <c r="B131" s="12" t="str">
        <f>CONCATENATE("          ","6114"," - ","STATE UNEMPLOYMENT INSURANCE")</f>
        <v xml:space="preserve">          6114 - STATE UNEMPLOYMENT INSURANCE</v>
      </c>
      <c r="C131" s="12"/>
      <c r="D131" s="8">
        <v>498.17</v>
      </c>
      <c r="E131" s="3"/>
      <c r="F131" s="7">
        <f t="shared" si="16"/>
        <v>6.3977377921769954E-4</v>
      </c>
      <c r="G131" s="3"/>
      <c r="H131" s="8">
        <v>314.29000000000002</v>
      </c>
      <c r="I131" s="3"/>
      <c r="J131" s="7">
        <f t="shared" si="17"/>
        <v>1.5494466948481353E-3</v>
      </c>
      <c r="K131" s="3"/>
      <c r="L131" s="8">
        <f t="shared" si="18"/>
        <v>183.88</v>
      </c>
      <c r="M131" s="3"/>
      <c r="N131" s="7">
        <f t="shared" si="19"/>
        <v>0.58506474911705741</v>
      </c>
      <c r="O131" s="12"/>
      <c r="P131" s="8">
        <v>3591.22</v>
      </c>
      <c r="Q131" s="3"/>
      <c r="R131" s="7">
        <f t="shared" si="20"/>
        <v>6.9123729794057925E-4</v>
      </c>
      <c r="S131" s="3"/>
      <c r="T131" s="8">
        <v>2930.55</v>
      </c>
      <c r="U131" s="3"/>
      <c r="V131" s="7">
        <f t="shared" si="21"/>
        <v>7.1822302601919942E-4</v>
      </c>
      <c r="W131" s="3"/>
      <c r="X131" s="8">
        <f t="shared" si="22"/>
        <v>660.66999999999962</v>
      </c>
      <c r="Y131" s="3"/>
      <c r="Z131" s="7">
        <f t="shared" si="23"/>
        <v>0.22544232311340859</v>
      </c>
    </row>
    <row r="132" spans="1:26" s="69" customFormat="1" ht="15" hidden="1" customHeight="1" outlineLevel="2" x14ac:dyDescent="0.3">
      <c r="A132" s="26"/>
      <c r="B132" s="12" t="str">
        <f>CONCATENATE("          ","6115"," - ","P.E.R.S.")</f>
        <v xml:space="preserve">          6115 - P.E.R.S.</v>
      </c>
      <c r="C132" s="12"/>
      <c r="D132" s="8">
        <v>6920.65</v>
      </c>
      <c r="E132" s="3"/>
      <c r="F132" s="7">
        <f t="shared" si="16"/>
        <v>8.8878302690707425E-3</v>
      </c>
      <c r="G132" s="3"/>
      <c r="H132" s="8">
        <v>6291.44</v>
      </c>
      <c r="I132" s="3"/>
      <c r="J132" s="7">
        <f t="shared" si="17"/>
        <v>3.1016739043034619E-2</v>
      </c>
      <c r="K132" s="3"/>
      <c r="L132" s="8">
        <f t="shared" si="18"/>
        <v>629.21</v>
      </c>
      <c r="M132" s="3"/>
      <c r="N132" s="7">
        <f t="shared" si="19"/>
        <v>0.10001049044415906</v>
      </c>
      <c r="O132" s="12"/>
      <c r="P132" s="8">
        <v>55256.2</v>
      </c>
      <c r="Q132" s="3"/>
      <c r="R132" s="7">
        <f t="shared" si="20"/>
        <v>1.0635702179889909E-2</v>
      </c>
      <c r="S132" s="3"/>
      <c r="T132" s="8">
        <v>55816.71</v>
      </c>
      <c r="U132" s="3"/>
      <c r="V132" s="7">
        <f t="shared" si="21"/>
        <v>1.3679632273339853E-2</v>
      </c>
      <c r="W132" s="3"/>
      <c r="X132" s="8">
        <f t="shared" si="22"/>
        <v>-560.51000000000204</v>
      </c>
      <c r="Y132" s="3"/>
      <c r="Z132" s="7">
        <f t="shared" si="23"/>
        <v>-1.0041974885298722E-2</v>
      </c>
    </row>
    <row r="133" spans="1:26" s="69" customFormat="1" ht="15" hidden="1" customHeight="1" outlineLevel="2" x14ac:dyDescent="0.3">
      <c r="A133" s="26"/>
      <c r="B133" s="12" t="str">
        <f>CONCATENATE("          ","6116"," - ","EDUCATIONAL BENEFITS")</f>
        <v xml:space="preserve">          6116 - EDUCATIONAL BENEFITS</v>
      </c>
      <c r="C133" s="12"/>
      <c r="D133" s="8"/>
      <c r="E133" s="3"/>
      <c r="F133" s="7">
        <f t="shared" si="16"/>
        <v>0</v>
      </c>
      <c r="G133" s="3"/>
      <c r="H133" s="8"/>
      <c r="I133" s="3"/>
      <c r="J133" s="7">
        <f t="shared" si="17"/>
        <v>0</v>
      </c>
      <c r="K133" s="3"/>
      <c r="L133" s="8">
        <f t="shared" si="18"/>
        <v>0</v>
      </c>
      <c r="M133" s="3"/>
      <c r="N133" s="7">
        <f t="shared" si="19"/>
        <v>0</v>
      </c>
      <c r="O133" s="12"/>
      <c r="P133" s="8"/>
      <c r="Q133" s="3"/>
      <c r="R133" s="7">
        <f t="shared" si="20"/>
        <v>0</v>
      </c>
      <c r="S133" s="3"/>
      <c r="T133" s="8">
        <v>0</v>
      </c>
      <c r="U133" s="3"/>
      <c r="V133" s="7">
        <f t="shared" si="21"/>
        <v>0</v>
      </c>
      <c r="W133" s="3"/>
      <c r="X133" s="8">
        <f t="shared" si="22"/>
        <v>0</v>
      </c>
      <c r="Y133" s="3"/>
      <c r="Z133" s="7">
        <f t="shared" si="23"/>
        <v>0</v>
      </c>
    </row>
    <row r="134" spans="1:26" s="69" customFormat="1" ht="15" hidden="1" customHeight="1" outlineLevel="2" x14ac:dyDescent="0.3">
      <c r="A134" s="26"/>
      <c r="B134" s="12" t="str">
        <f>CONCATENATE("          ","6117"," - ","RETIREMENT STAFF HOURLY")</f>
        <v xml:space="preserve">          6117 - RETIREMENT STAFF HOURLY</v>
      </c>
      <c r="C134" s="12"/>
      <c r="D134" s="8">
        <v>701.53</v>
      </c>
      <c r="E134" s="3"/>
      <c r="F134" s="7">
        <f t="shared" si="16"/>
        <v>9.0093843333519216E-4</v>
      </c>
      <c r="G134" s="3"/>
      <c r="H134" s="8">
        <v>509.38</v>
      </c>
      <c r="I134" s="3"/>
      <c r="J134" s="7">
        <f t="shared" si="17"/>
        <v>2.511238529452872E-3</v>
      </c>
      <c r="K134" s="3"/>
      <c r="L134" s="8">
        <f t="shared" si="18"/>
        <v>192.14999999999998</v>
      </c>
      <c r="M134" s="3"/>
      <c r="N134" s="7">
        <f t="shared" si="19"/>
        <v>0.37722329105971963</v>
      </c>
      <c r="O134" s="12"/>
      <c r="P134" s="8">
        <v>5364.59</v>
      </c>
      <c r="Q134" s="3"/>
      <c r="R134" s="7">
        <f t="shared" si="20"/>
        <v>1.0325751962171775E-3</v>
      </c>
      <c r="S134" s="3"/>
      <c r="T134" s="8">
        <v>2750.42</v>
      </c>
      <c r="U134" s="3"/>
      <c r="V134" s="7">
        <f t="shared" si="21"/>
        <v>6.7407653007924332E-4</v>
      </c>
      <c r="W134" s="3"/>
      <c r="X134" s="8">
        <f t="shared" si="22"/>
        <v>2614.17</v>
      </c>
      <c r="Y134" s="3"/>
      <c r="Z134" s="7">
        <f t="shared" si="23"/>
        <v>0.95046211124119229</v>
      </c>
    </row>
    <row r="135" spans="1:26" s="69" customFormat="1" ht="15" hidden="1" customHeight="1" outlineLevel="2" x14ac:dyDescent="0.3">
      <c r="A135" s="26"/>
      <c r="B135" s="12" t="str">
        <f>CONCATENATE("          ","6118"," - ","VACATION")</f>
        <v xml:space="preserve">          6118 - VACATION</v>
      </c>
      <c r="C135" s="12"/>
      <c r="D135" s="8">
        <v>7602.2</v>
      </c>
      <c r="E135" s="3"/>
      <c r="F135" s="7">
        <f t="shared" si="16"/>
        <v>9.7631094292486391E-3</v>
      </c>
      <c r="G135" s="3"/>
      <c r="H135" s="8">
        <v>5425.16</v>
      </c>
      <c r="I135" s="3"/>
      <c r="J135" s="7">
        <f t="shared" si="17"/>
        <v>2.6745986926158354E-2</v>
      </c>
      <c r="K135" s="3"/>
      <c r="L135" s="8">
        <f t="shared" si="18"/>
        <v>2177.04</v>
      </c>
      <c r="M135" s="3"/>
      <c r="N135" s="7">
        <f t="shared" si="19"/>
        <v>0.40128586069350952</v>
      </c>
      <c r="O135" s="12"/>
      <c r="P135" s="8">
        <v>51566.18</v>
      </c>
      <c r="Q135" s="3"/>
      <c r="R135" s="7">
        <f t="shared" si="20"/>
        <v>9.9254478779683616E-3</v>
      </c>
      <c r="S135" s="3"/>
      <c r="T135" s="8">
        <v>43490.47</v>
      </c>
      <c r="U135" s="3"/>
      <c r="V135" s="7">
        <f t="shared" si="21"/>
        <v>1.0658701256213753E-2</v>
      </c>
      <c r="W135" s="3"/>
      <c r="X135" s="8">
        <f t="shared" si="22"/>
        <v>8075.7099999999991</v>
      </c>
      <c r="Y135" s="3"/>
      <c r="Z135" s="7">
        <f t="shared" si="23"/>
        <v>0.18568918661950534</v>
      </c>
    </row>
    <row r="136" spans="1:26" s="69" customFormat="1" ht="15" hidden="1" customHeight="1" outlineLevel="2" x14ac:dyDescent="0.3">
      <c r="A136" s="26"/>
      <c r="B136" s="12" t="str">
        <f>CONCATENATE("          ","6119"," - ","SICK LEAVE")</f>
        <v xml:space="preserve">          6119 - SICK LEAVE</v>
      </c>
      <c r="C136" s="12"/>
      <c r="D136" s="8">
        <v>-23816.080000000002</v>
      </c>
      <c r="E136" s="3"/>
      <c r="F136" s="7">
        <f t="shared" si="16"/>
        <v>-3.0585750863663146E-2</v>
      </c>
      <c r="G136" s="3"/>
      <c r="H136" s="8">
        <v>3824.03</v>
      </c>
      <c r="I136" s="3"/>
      <c r="J136" s="7">
        <f t="shared" si="17"/>
        <v>1.8852431335709425E-2</v>
      </c>
      <c r="K136" s="3"/>
      <c r="L136" s="8">
        <f t="shared" si="18"/>
        <v>-27640.11</v>
      </c>
      <c r="M136" s="3"/>
      <c r="N136" s="7">
        <f t="shared" si="19"/>
        <v>-7.2280055334293927</v>
      </c>
      <c r="O136" s="12"/>
      <c r="P136" s="8">
        <v>15029.27</v>
      </c>
      <c r="Q136" s="3"/>
      <c r="R136" s="7">
        <f t="shared" si="20"/>
        <v>2.892830844342427E-3</v>
      </c>
      <c r="S136" s="3"/>
      <c r="T136" s="8">
        <v>31144.48</v>
      </c>
      <c r="U136" s="3"/>
      <c r="V136" s="7">
        <f t="shared" si="21"/>
        <v>7.6329298832623349E-3</v>
      </c>
      <c r="W136" s="3"/>
      <c r="X136" s="8">
        <f t="shared" si="22"/>
        <v>-16115.21</v>
      </c>
      <c r="Y136" s="3"/>
      <c r="Z136" s="7">
        <f t="shared" si="23"/>
        <v>-0.51743390803121447</v>
      </c>
    </row>
    <row r="137" spans="1:26" s="69" customFormat="1" ht="15" hidden="1" customHeight="1" outlineLevel="2" x14ac:dyDescent="0.3">
      <c r="A137" s="26"/>
      <c r="B137" s="12" t="str">
        <f>CONCATENATE("          ","6156"," - ","EMPLOYEE MEALS")</f>
        <v xml:space="preserve">          6156 - EMPLOYEE MEALS</v>
      </c>
      <c r="C137" s="12"/>
      <c r="D137" s="8">
        <v>3511.47</v>
      </c>
      <c r="E137" s="3"/>
      <c r="F137" s="7">
        <f t="shared" si="16"/>
        <v>4.5095979936760041E-3</v>
      </c>
      <c r="G137" s="3"/>
      <c r="H137" s="8">
        <v>1208.68</v>
      </c>
      <c r="I137" s="3"/>
      <c r="J137" s="7">
        <f t="shared" si="17"/>
        <v>5.9587808429445548E-3</v>
      </c>
      <c r="K137" s="3"/>
      <c r="L137" s="8">
        <f t="shared" si="18"/>
        <v>2302.79</v>
      </c>
      <c r="M137" s="3"/>
      <c r="N137" s="7">
        <f t="shared" si="19"/>
        <v>1.9052106430155209</v>
      </c>
      <c r="O137" s="12"/>
      <c r="P137" s="8">
        <v>22054.21</v>
      </c>
      <c r="Q137" s="3"/>
      <c r="R137" s="7">
        <f t="shared" si="20"/>
        <v>4.2449898721365169E-3</v>
      </c>
      <c r="S137" s="3"/>
      <c r="T137" s="8">
        <v>10939.55</v>
      </c>
      <c r="U137" s="3"/>
      <c r="V137" s="7">
        <f t="shared" si="21"/>
        <v>2.6810792186751061E-3</v>
      </c>
      <c r="W137" s="3"/>
      <c r="X137" s="8">
        <f t="shared" si="22"/>
        <v>11114.66</v>
      </c>
      <c r="Y137" s="3"/>
      <c r="Z137" s="7">
        <f t="shared" si="23"/>
        <v>1.0160070569630379</v>
      </c>
    </row>
    <row r="138" spans="1:26" s="68" customFormat="1" ht="15" customHeight="1" outlineLevel="1" collapsed="1" x14ac:dyDescent="0.3">
      <c r="A138" s="25"/>
      <c r="B138" s="14" t="str">
        <f>CONCATENATE("     ","*Payroll                                          ")</f>
        <v xml:space="preserve">     *Payroll                                          </v>
      </c>
      <c r="C138" s="14"/>
      <c r="D138" s="2">
        <f>SUM(OSRRefD22_1x_0)</f>
        <v>186124.57</v>
      </c>
      <c r="E138" s="2"/>
      <c r="F138" s="6">
        <f t="shared" si="16"/>
        <v>0.23903008923493838</v>
      </c>
      <c r="G138" s="2"/>
      <c r="H138" s="2">
        <f>SUM(OSRRefH22_1x_0)</f>
        <v>111617.56</v>
      </c>
      <c r="I138" s="2"/>
      <c r="J138" s="6">
        <f t="shared" si="17"/>
        <v>0.55027350354453985</v>
      </c>
      <c r="K138" s="2"/>
      <c r="L138" s="2">
        <f t="shared" si="18"/>
        <v>74507.010000000009</v>
      </c>
      <c r="M138" s="2"/>
      <c r="N138" s="6">
        <f t="shared" si="19"/>
        <v>0.66752050483812775</v>
      </c>
      <c r="O138" s="14"/>
      <c r="P138" s="2">
        <f>SUM(OSRRefP22_1x_0)</f>
        <v>1334761.6399999999</v>
      </c>
      <c r="Q138" s="2"/>
      <c r="R138" s="6">
        <f t="shared" si="20"/>
        <v>0.25691465001540875</v>
      </c>
      <c r="S138" s="2"/>
      <c r="T138" s="2">
        <f>SUM(OSRRefT22_1x_0)</f>
        <v>1006655.3800000001</v>
      </c>
      <c r="U138" s="2"/>
      <c r="V138" s="6">
        <f t="shared" si="21"/>
        <v>0.24671241684397371</v>
      </c>
      <c r="W138" s="2"/>
      <c r="X138" s="2">
        <f t="shared" si="22"/>
        <v>328106.25999999978</v>
      </c>
      <c r="Y138" s="2"/>
      <c r="Z138" s="6">
        <f t="shared" si="23"/>
        <v>0.32593702524095164</v>
      </c>
    </row>
    <row r="139" spans="1:26" s="69" customFormat="1" ht="15" hidden="1" customHeight="1" outlineLevel="2" x14ac:dyDescent="0.3">
      <c r="A139" s="26"/>
      <c r="B139" s="12" t="str">
        <f>CONCATENATE("          ","6001"," - ","ADMINISTRATIVE SALARIES")</f>
        <v xml:space="preserve">          6001 - ADMINISTRATIVE SALARIES</v>
      </c>
      <c r="C139" s="12"/>
      <c r="D139" s="8">
        <v>7265.35</v>
      </c>
      <c r="E139" s="3"/>
      <c r="F139" s="7">
        <f t="shared" si="16"/>
        <v>9.3305105221898402E-3</v>
      </c>
      <c r="G139" s="3"/>
      <c r="H139" s="8">
        <v>4280.74</v>
      </c>
      <c r="I139" s="3"/>
      <c r="J139" s="7">
        <f t="shared" si="17"/>
        <v>2.11040072687779E-2</v>
      </c>
      <c r="K139" s="3"/>
      <c r="L139" s="8">
        <f t="shared" si="18"/>
        <v>2984.6100000000006</v>
      </c>
      <c r="M139" s="3"/>
      <c r="N139" s="7">
        <f t="shared" si="19"/>
        <v>0.69721823796820193</v>
      </c>
      <c r="O139" s="12"/>
      <c r="P139" s="8">
        <v>40957.550000000003</v>
      </c>
      <c r="Q139" s="3"/>
      <c r="R139" s="7">
        <f t="shared" si="20"/>
        <v>7.8835009251079502E-3</v>
      </c>
      <c r="S139" s="3"/>
      <c r="T139" s="8">
        <v>34496.589999999997</v>
      </c>
      <c r="U139" s="3"/>
      <c r="V139" s="7">
        <f t="shared" si="21"/>
        <v>8.4544693853179954E-3</v>
      </c>
      <c r="W139" s="3"/>
      <c r="X139" s="8">
        <f t="shared" si="22"/>
        <v>6460.9600000000064</v>
      </c>
      <c r="Y139" s="3"/>
      <c r="Z139" s="7">
        <f t="shared" si="23"/>
        <v>0.1872927150190789</v>
      </c>
    </row>
    <row r="140" spans="1:26" s="69" customFormat="1" ht="15" hidden="1" customHeight="1" outlineLevel="2" x14ac:dyDescent="0.3">
      <c r="A140" s="26"/>
      <c r="B140" s="12" t="str">
        <f>CONCATENATE("          ","6002"," - ","STAFF SALARIES")</f>
        <v xml:space="preserve">          6002 - STAFF SALARIES</v>
      </c>
      <c r="C140" s="12"/>
      <c r="D140" s="8">
        <v>63093.51</v>
      </c>
      <c r="E140" s="3"/>
      <c r="F140" s="7">
        <f t="shared" si="16"/>
        <v>8.10277080852113E-2</v>
      </c>
      <c r="G140" s="3"/>
      <c r="H140" s="8">
        <v>60271.59</v>
      </c>
      <c r="I140" s="3"/>
      <c r="J140" s="7">
        <f t="shared" si="17"/>
        <v>0.29713836240014607</v>
      </c>
      <c r="K140" s="3"/>
      <c r="L140" s="8">
        <f t="shared" si="18"/>
        <v>2821.9200000000055</v>
      </c>
      <c r="M140" s="3"/>
      <c r="N140" s="7">
        <f t="shared" si="19"/>
        <v>4.6820068957862331E-2</v>
      </c>
      <c r="O140" s="12"/>
      <c r="P140" s="8">
        <v>468121.74</v>
      </c>
      <c r="Q140" s="3"/>
      <c r="R140" s="7">
        <f t="shared" si="20"/>
        <v>9.0103977663535617E-2</v>
      </c>
      <c r="S140" s="3"/>
      <c r="T140" s="8">
        <v>475025.04</v>
      </c>
      <c r="U140" s="3"/>
      <c r="V140" s="7">
        <f t="shared" si="21"/>
        <v>0.11641975795113246</v>
      </c>
      <c r="W140" s="3"/>
      <c r="X140" s="8">
        <f t="shared" si="22"/>
        <v>-6903.2999999999884</v>
      </c>
      <c r="Y140" s="3"/>
      <c r="Z140" s="7">
        <f t="shared" si="23"/>
        <v>-1.4532497065838864E-2</v>
      </c>
    </row>
    <row r="141" spans="1:26" s="69" customFormat="1" ht="15" hidden="1" customHeight="1" outlineLevel="2" x14ac:dyDescent="0.3">
      <c r="A141" s="26"/>
      <c r="B141" s="12" t="str">
        <f>CONCATENATE("          ","6004"," - ","STAFF HOURLY")</f>
        <v xml:space="preserve">          6004 - STAFF HOURLY</v>
      </c>
      <c r="C141" s="12"/>
      <c r="D141" s="8">
        <v>31527.18</v>
      </c>
      <c r="E141" s="3"/>
      <c r="F141" s="7">
        <f t="shared" si="16"/>
        <v>4.0488714889850196E-2</v>
      </c>
      <c r="G141" s="3"/>
      <c r="H141" s="8">
        <v>15570.79</v>
      </c>
      <c r="I141" s="3"/>
      <c r="J141" s="7">
        <f t="shared" si="17"/>
        <v>7.6763845816521029E-2</v>
      </c>
      <c r="K141" s="3"/>
      <c r="L141" s="8">
        <f t="shared" si="18"/>
        <v>15956.39</v>
      </c>
      <c r="M141" s="3"/>
      <c r="N141" s="7">
        <f t="shared" si="19"/>
        <v>1.02476431831654</v>
      </c>
      <c r="O141" s="12"/>
      <c r="P141" s="8">
        <v>185319.42</v>
      </c>
      <c r="Q141" s="3"/>
      <c r="R141" s="7">
        <f t="shared" si="20"/>
        <v>3.5670244411847608E-2</v>
      </c>
      <c r="S141" s="3"/>
      <c r="T141" s="8">
        <v>125592.43</v>
      </c>
      <c r="U141" s="3"/>
      <c r="V141" s="7">
        <f t="shared" si="21"/>
        <v>3.0780356970433697E-2</v>
      </c>
      <c r="W141" s="3"/>
      <c r="X141" s="8">
        <f t="shared" si="22"/>
        <v>59726.99000000002</v>
      </c>
      <c r="Y141" s="3"/>
      <c r="Z141" s="7">
        <f t="shared" si="23"/>
        <v>0.47556202232889372</v>
      </c>
    </row>
    <row r="142" spans="1:26" s="69" customFormat="1" ht="15" hidden="1" customHeight="1" outlineLevel="2" x14ac:dyDescent="0.3">
      <c r="A142" s="26"/>
      <c r="B142" s="12" t="str">
        <f>CONCATENATE("          ","6005"," - ","TEMPORARY WAGES-HOURLY")</f>
        <v xml:space="preserve">          6005 - TEMPORARY WAGES-HOURLY</v>
      </c>
      <c r="C142" s="12"/>
      <c r="D142" s="8">
        <v>7122.26</v>
      </c>
      <c r="E142" s="3"/>
      <c r="F142" s="7">
        <f t="shared" si="16"/>
        <v>9.1467474893531363E-3</v>
      </c>
      <c r="G142" s="3"/>
      <c r="H142" s="8">
        <v>12213.85</v>
      </c>
      <c r="I142" s="3"/>
      <c r="J142" s="7">
        <f t="shared" si="17"/>
        <v>6.0214163714629468E-2</v>
      </c>
      <c r="K142" s="3"/>
      <c r="L142" s="8">
        <f t="shared" si="18"/>
        <v>-5091.59</v>
      </c>
      <c r="M142" s="3"/>
      <c r="N142" s="7">
        <f t="shared" si="19"/>
        <v>-0.41687019244546153</v>
      </c>
      <c r="O142" s="12"/>
      <c r="P142" s="8">
        <v>67053.710000000006</v>
      </c>
      <c r="Q142" s="3"/>
      <c r="R142" s="7">
        <f t="shared" si="20"/>
        <v>1.2906484514257329E-2</v>
      </c>
      <c r="S142" s="3"/>
      <c r="T142" s="8">
        <v>122408.07</v>
      </c>
      <c r="U142" s="3"/>
      <c r="V142" s="7">
        <f t="shared" si="21"/>
        <v>2.9999929857729774E-2</v>
      </c>
      <c r="W142" s="3"/>
      <c r="X142" s="8">
        <f t="shared" si="22"/>
        <v>-55354.36</v>
      </c>
      <c r="Y142" s="3"/>
      <c r="Z142" s="7">
        <f t="shared" si="23"/>
        <v>-0.45221168833067948</v>
      </c>
    </row>
    <row r="143" spans="1:26" s="69" customFormat="1" ht="15" hidden="1" customHeight="1" outlineLevel="2" x14ac:dyDescent="0.3">
      <c r="A143" s="26"/>
      <c r="B143" s="12" t="str">
        <f>CONCATENATE("          ","6006"," - ","TEMPORARY PART TIME")</f>
        <v xml:space="preserve">          6006 - TEMPORARY PART TIME</v>
      </c>
      <c r="C143" s="12"/>
      <c r="D143" s="8">
        <v>2310.4</v>
      </c>
      <c r="E143" s="3"/>
      <c r="F143" s="7">
        <f t="shared" si="16"/>
        <v>2.9671263614922073E-3</v>
      </c>
      <c r="G143" s="3"/>
      <c r="H143" s="8">
        <v>2042.44</v>
      </c>
      <c r="I143" s="3"/>
      <c r="J143" s="7">
        <f t="shared" si="17"/>
        <v>1.0069209670767843E-2</v>
      </c>
      <c r="K143" s="3"/>
      <c r="L143" s="8">
        <f t="shared" si="18"/>
        <v>267.96000000000004</v>
      </c>
      <c r="M143" s="3"/>
      <c r="N143" s="7">
        <f t="shared" si="19"/>
        <v>0.13119602044613307</v>
      </c>
      <c r="O143" s="12"/>
      <c r="P143" s="8">
        <v>14280.37</v>
      </c>
      <c r="Q143" s="3"/>
      <c r="R143" s="7">
        <f t="shared" si="20"/>
        <v>2.7486827240858847E-3</v>
      </c>
      <c r="S143" s="3"/>
      <c r="T143" s="8">
        <v>12030.4</v>
      </c>
      <c r="U143" s="3"/>
      <c r="V143" s="7">
        <f t="shared" si="21"/>
        <v>2.9484261630824851E-3</v>
      </c>
      <c r="W143" s="3"/>
      <c r="X143" s="8">
        <f t="shared" si="22"/>
        <v>2249.9700000000012</v>
      </c>
      <c r="Y143" s="3"/>
      <c r="Z143" s="7">
        <f t="shared" si="23"/>
        <v>0.18702370660992162</v>
      </c>
    </row>
    <row r="144" spans="1:26" s="69" customFormat="1" ht="15" hidden="1" customHeight="1" outlineLevel="2" x14ac:dyDescent="0.3">
      <c r="A144" s="26"/>
      <c r="B144" s="12" t="str">
        <f>CONCATENATE("          ","6007"," - ","STUDENT HOURLY")</f>
        <v xml:space="preserve">          6007 - STUDENT HOURLY</v>
      </c>
      <c r="C144" s="12"/>
      <c r="D144" s="8">
        <v>59937.7</v>
      </c>
      <c r="E144" s="3"/>
      <c r="F144" s="7">
        <f t="shared" si="16"/>
        <v>7.6974865701701631E-2</v>
      </c>
      <c r="G144" s="3"/>
      <c r="H144" s="8">
        <v>16114.23</v>
      </c>
      <c r="I144" s="3"/>
      <c r="J144" s="7">
        <f t="shared" si="17"/>
        <v>7.9442999820301841E-2</v>
      </c>
      <c r="K144" s="3"/>
      <c r="L144" s="8">
        <f t="shared" si="18"/>
        <v>43823.47</v>
      </c>
      <c r="M144" s="3"/>
      <c r="N144" s="7">
        <f t="shared" si="19"/>
        <v>2.7195509807170435</v>
      </c>
      <c r="O144" s="12"/>
      <c r="P144" s="8">
        <v>481209.4</v>
      </c>
      <c r="Q144" s="3"/>
      <c r="R144" s="7">
        <f t="shared" si="20"/>
        <v>9.2623087808490545E-2</v>
      </c>
      <c r="S144" s="3"/>
      <c r="T144" s="8">
        <v>229803.6</v>
      </c>
      <c r="U144" s="3"/>
      <c r="V144" s="7">
        <f t="shared" si="21"/>
        <v>5.6320566781698216E-2</v>
      </c>
      <c r="W144" s="3"/>
      <c r="X144" s="8">
        <f t="shared" si="22"/>
        <v>251405.80000000002</v>
      </c>
      <c r="Y144" s="3"/>
      <c r="Z144" s="7">
        <f t="shared" si="23"/>
        <v>1.0940028789801379</v>
      </c>
    </row>
    <row r="145" spans="1:26" s="69" customFormat="1" ht="15" hidden="1" customHeight="1" outlineLevel="2" x14ac:dyDescent="0.3">
      <c r="A145" s="26"/>
      <c r="B145" s="12" t="str">
        <f>CONCATENATE("          ","6008"," - ","STUDENT HOURLY-FICA EXEMPT")</f>
        <v xml:space="preserve">          6008 - STUDENT HOURLY-FICA EXEMPT</v>
      </c>
      <c r="C145" s="12"/>
      <c r="D145" s="8">
        <v>14868.17</v>
      </c>
      <c r="E145" s="3"/>
      <c r="F145" s="7">
        <f t="shared" si="16"/>
        <v>1.9094416185140059E-2</v>
      </c>
      <c r="G145" s="3"/>
      <c r="H145" s="8">
        <v>1123.92</v>
      </c>
      <c r="I145" s="3"/>
      <c r="J145" s="7">
        <f t="shared" si="17"/>
        <v>5.5409148533956416E-3</v>
      </c>
      <c r="K145" s="3"/>
      <c r="L145" s="8">
        <f t="shared" si="18"/>
        <v>13744.25</v>
      </c>
      <c r="M145" s="3"/>
      <c r="N145" s="7">
        <f t="shared" si="19"/>
        <v>12.228850807886682</v>
      </c>
      <c r="O145" s="12"/>
      <c r="P145" s="8">
        <v>77819.45</v>
      </c>
      <c r="Q145" s="3"/>
      <c r="R145" s="7">
        <f t="shared" si="20"/>
        <v>1.4978671968083829E-2</v>
      </c>
      <c r="S145" s="3"/>
      <c r="T145" s="8">
        <v>7299.25</v>
      </c>
      <c r="U145" s="3"/>
      <c r="V145" s="7">
        <f t="shared" si="21"/>
        <v>1.7889097345790521E-3</v>
      </c>
      <c r="W145" s="3"/>
      <c r="X145" s="8">
        <f t="shared" si="22"/>
        <v>70520.2</v>
      </c>
      <c r="Y145" s="3"/>
      <c r="Z145" s="7">
        <f t="shared" si="23"/>
        <v>9.6612939685584127</v>
      </c>
    </row>
    <row r="146" spans="1:26" s="68" customFormat="1" ht="15" customHeight="1" outlineLevel="1" collapsed="1" x14ac:dyDescent="0.3">
      <c r="A146" s="25"/>
      <c r="B146" s="14" t="str">
        <f>CONCATENATE("     ","Advertising/Promo                                 ")</f>
        <v xml:space="preserve">     Advertising/Promo                                 </v>
      </c>
      <c r="C146" s="14"/>
      <c r="D146" s="2">
        <f>SUM(OSRRefD22_2x_0)</f>
        <v>366.64</v>
      </c>
      <c r="E146" s="2"/>
      <c r="F146" s="6">
        <f t="shared" si="16"/>
        <v>4.7085665217170305E-4</v>
      </c>
      <c r="G146" s="2"/>
      <c r="H146" s="2">
        <f>SUM(OSRRefH22_2x_0)</f>
        <v>114.65</v>
      </c>
      <c r="I146" s="2"/>
      <c r="J146" s="6">
        <f t="shared" si="17"/>
        <v>5.6522340374920844E-4</v>
      </c>
      <c r="K146" s="2"/>
      <c r="L146" s="2">
        <f t="shared" si="18"/>
        <v>251.98999999999998</v>
      </c>
      <c r="M146" s="2"/>
      <c r="N146" s="6">
        <f t="shared" si="19"/>
        <v>2.1979066724814649</v>
      </c>
      <c r="O146" s="14"/>
      <c r="P146" s="2">
        <f>SUM(OSRRefP22_2x_0)</f>
        <v>6643.87</v>
      </c>
      <c r="Q146" s="2"/>
      <c r="R146" s="6">
        <f t="shared" si="20"/>
        <v>1.2788107514071754E-3</v>
      </c>
      <c r="S146" s="2"/>
      <c r="T146" s="2">
        <f>SUM(OSRRefT22_2x_0)</f>
        <v>16148.79</v>
      </c>
      <c r="U146" s="2"/>
      <c r="V146" s="6">
        <f t="shared" si="21"/>
        <v>3.9577665695342467E-3</v>
      </c>
      <c r="W146" s="2"/>
      <c r="X146" s="2">
        <f t="shared" si="22"/>
        <v>-9504.9200000000019</v>
      </c>
      <c r="Y146" s="2"/>
      <c r="Z146" s="6">
        <f t="shared" si="23"/>
        <v>-0.58858403632718004</v>
      </c>
    </row>
    <row r="147" spans="1:26" s="69" customFormat="1" ht="15" hidden="1" customHeight="1" outlineLevel="2" x14ac:dyDescent="0.3">
      <c r="A147" s="26"/>
      <c r="B147" s="12" t="str">
        <f>CONCATENATE("          ","6362"," - ","ADVERTISING EXPENSE")</f>
        <v xml:space="preserve">          6362 - ADVERTISING EXPENSE</v>
      </c>
      <c r="C147" s="12"/>
      <c r="D147" s="8">
        <v>366.64</v>
      </c>
      <c r="E147" s="3"/>
      <c r="F147" s="7">
        <f t="shared" si="16"/>
        <v>4.7085665217170305E-4</v>
      </c>
      <c r="G147" s="3"/>
      <c r="H147" s="8">
        <v>114.65</v>
      </c>
      <c r="I147" s="3"/>
      <c r="J147" s="7">
        <f t="shared" si="17"/>
        <v>5.6522340374920844E-4</v>
      </c>
      <c r="K147" s="3"/>
      <c r="L147" s="8">
        <f t="shared" si="18"/>
        <v>251.98999999999998</v>
      </c>
      <c r="M147" s="3"/>
      <c r="N147" s="7">
        <f t="shared" si="19"/>
        <v>2.1979066724814649</v>
      </c>
      <c r="O147" s="12"/>
      <c r="P147" s="8">
        <v>6643.87</v>
      </c>
      <c r="Q147" s="3"/>
      <c r="R147" s="7">
        <f t="shared" si="20"/>
        <v>1.2788107514071754E-3</v>
      </c>
      <c r="S147" s="3"/>
      <c r="T147" s="8">
        <v>16148.79</v>
      </c>
      <c r="U147" s="3"/>
      <c r="V147" s="7">
        <f t="shared" si="21"/>
        <v>3.9577665695342467E-3</v>
      </c>
      <c r="W147" s="3"/>
      <c r="X147" s="8">
        <f t="shared" si="22"/>
        <v>-9504.9200000000019</v>
      </c>
      <c r="Y147" s="3"/>
      <c r="Z147" s="7">
        <f t="shared" si="23"/>
        <v>-0.58858403632718004</v>
      </c>
    </row>
    <row r="148" spans="1:26" s="68" customFormat="1" ht="15" customHeight="1" outlineLevel="1" collapsed="1" x14ac:dyDescent="0.3">
      <c r="A148" s="25"/>
      <c r="B148" s="14" t="str">
        <f>CONCATENATE("     ","Bad Debts/Over/Short                              ")</f>
        <v xml:space="preserve">     Bad Debts/Over/Short                              </v>
      </c>
      <c r="C148" s="14"/>
      <c r="D148" s="2">
        <f>SUM(OSRRefD22_3x_0)</f>
        <v>-51.1</v>
      </c>
      <c r="E148" s="2"/>
      <c r="F148" s="6">
        <f t="shared" si="16"/>
        <v>-6.5625067984873518E-5</v>
      </c>
      <c r="G148" s="2"/>
      <c r="H148" s="2">
        <f>SUM(OSRRefH22_3x_0)</f>
        <v>3282.4</v>
      </c>
      <c r="I148" s="2"/>
      <c r="J148" s="6">
        <f t="shared" si="17"/>
        <v>1.6182200614621906E-2</v>
      </c>
      <c r="K148" s="2"/>
      <c r="L148" s="2">
        <f t="shared" si="18"/>
        <v>-3333.5</v>
      </c>
      <c r="M148" s="2"/>
      <c r="N148" s="6">
        <f t="shared" si="19"/>
        <v>-1.0155678771630514</v>
      </c>
      <c r="O148" s="14"/>
      <c r="P148" s="2">
        <f>SUM(OSRRefP22_3x_0)</f>
        <v>99.68</v>
      </c>
      <c r="Q148" s="2"/>
      <c r="R148" s="6">
        <f t="shared" si="20"/>
        <v>1.9186386202660085E-5</v>
      </c>
      <c r="S148" s="2"/>
      <c r="T148" s="2">
        <f>SUM(OSRRefT22_3x_0)</f>
        <v>5200.46</v>
      </c>
      <c r="U148" s="2"/>
      <c r="V148" s="6">
        <f t="shared" si="21"/>
        <v>1.2745355369783167E-3</v>
      </c>
      <c r="W148" s="2"/>
      <c r="X148" s="2">
        <f t="shared" si="22"/>
        <v>-5100.78</v>
      </c>
      <c r="Y148" s="2"/>
      <c r="Z148" s="6">
        <f t="shared" si="23"/>
        <v>-0.98083246482041964</v>
      </c>
    </row>
    <row r="149" spans="1:26" s="69" customFormat="1" ht="15" hidden="1" customHeight="1" outlineLevel="2" x14ac:dyDescent="0.3">
      <c r="A149" s="26"/>
      <c r="B149" s="12" t="str">
        <f>CONCATENATE("          ","6272"," - ","CASH (OVER/SHORT)")</f>
        <v xml:space="preserve">          6272 - CASH (OVER/SHORT)</v>
      </c>
      <c r="C149" s="12"/>
      <c r="D149" s="8">
        <v>-51.1</v>
      </c>
      <c r="E149" s="3"/>
      <c r="F149" s="7">
        <f t="shared" si="16"/>
        <v>-6.5625067984873518E-5</v>
      </c>
      <c r="G149" s="3"/>
      <c r="H149" s="8">
        <v>-70.239999999999995</v>
      </c>
      <c r="I149" s="3"/>
      <c r="J149" s="7">
        <f t="shared" si="17"/>
        <v>-3.4628252838503614E-4</v>
      </c>
      <c r="K149" s="3"/>
      <c r="L149" s="8">
        <f t="shared" si="18"/>
        <v>19.139999999999993</v>
      </c>
      <c r="M149" s="3"/>
      <c r="N149" s="7">
        <f t="shared" si="19"/>
        <v>-0.27249430523917989</v>
      </c>
      <c r="O149" s="12"/>
      <c r="P149" s="8">
        <v>99.68</v>
      </c>
      <c r="Q149" s="3"/>
      <c r="R149" s="7">
        <f t="shared" si="20"/>
        <v>1.9186386202660085E-5</v>
      </c>
      <c r="S149" s="3"/>
      <c r="T149" s="8">
        <v>-148.96</v>
      </c>
      <c r="U149" s="3"/>
      <c r="V149" s="7">
        <f t="shared" si="21"/>
        <v>-3.6507311581723551E-5</v>
      </c>
      <c r="W149" s="3"/>
      <c r="X149" s="8">
        <f t="shared" si="22"/>
        <v>248.64000000000001</v>
      </c>
      <c r="Y149" s="3"/>
      <c r="Z149" s="7">
        <f t="shared" si="23"/>
        <v>-1.6691729323308271</v>
      </c>
    </row>
    <row r="150" spans="1:26" s="69" customFormat="1" ht="15" hidden="1" customHeight="1" outlineLevel="2" x14ac:dyDescent="0.3">
      <c r="A150" s="26"/>
      <c r="B150" s="12" t="str">
        <f>CONCATENATE("          ","6342"," - ","BAD DEBT")</f>
        <v xml:space="preserve">          6342 - BAD DEBT</v>
      </c>
      <c r="C150" s="12"/>
      <c r="D150" s="8"/>
      <c r="E150" s="3"/>
      <c r="F150" s="7">
        <f t="shared" si="16"/>
        <v>0</v>
      </c>
      <c r="G150" s="3"/>
      <c r="H150" s="8">
        <v>3352.64</v>
      </c>
      <c r="I150" s="3"/>
      <c r="J150" s="7">
        <f t="shared" si="17"/>
        <v>1.6528483143006943E-2</v>
      </c>
      <c r="K150" s="3"/>
      <c r="L150" s="8">
        <f t="shared" si="18"/>
        <v>-3352.64</v>
      </c>
      <c r="M150" s="3"/>
      <c r="N150" s="7">
        <f t="shared" si="19"/>
        <v>-1</v>
      </c>
      <c r="O150" s="12"/>
      <c r="P150" s="8"/>
      <c r="Q150" s="3"/>
      <c r="R150" s="7">
        <f t="shared" si="20"/>
        <v>0</v>
      </c>
      <c r="S150" s="3"/>
      <c r="T150" s="8">
        <v>5349.42</v>
      </c>
      <c r="U150" s="3"/>
      <c r="V150" s="7">
        <f t="shared" si="21"/>
        <v>1.3110428485600403E-3</v>
      </c>
      <c r="W150" s="3"/>
      <c r="X150" s="8">
        <f t="shared" si="22"/>
        <v>-5349.42</v>
      </c>
      <c r="Y150" s="3"/>
      <c r="Z150" s="7">
        <f t="shared" si="23"/>
        <v>-1</v>
      </c>
    </row>
    <row r="151" spans="1:26" s="68" customFormat="1" ht="15" customHeight="1" outlineLevel="1" collapsed="1" x14ac:dyDescent="0.3">
      <c r="A151" s="25"/>
      <c r="B151" s="14" t="str">
        <f>CONCATENATE("     ","Bank/card Fees                                    ")</f>
        <v xml:space="preserve">     Bank/card Fees                                    </v>
      </c>
      <c r="C151" s="14"/>
      <c r="D151" s="2">
        <f>SUM(OSRRefD22_4x_0)</f>
        <v>15661.69</v>
      </c>
      <c r="E151" s="2"/>
      <c r="F151" s="6">
        <f t="shared" si="16"/>
        <v>2.0113492583327081E-2</v>
      </c>
      <c r="G151" s="2"/>
      <c r="H151" s="2">
        <f>SUM(OSRRefH22_4x_0)</f>
        <v>3756.42</v>
      </c>
      <c r="I151" s="2"/>
      <c r="J151" s="6">
        <f t="shared" si="17"/>
        <v>1.8519114682177071E-2</v>
      </c>
      <c r="K151" s="2"/>
      <c r="L151" s="2">
        <f t="shared" si="18"/>
        <v>11905.27</v>
      </c>
      <c r="M151" s="2"/>
      <c r="N151" s="6">
        <f t="shared" si="19"/>
        <v>3.1693128031476778</v>
      </c>
      <c r="O151" s="14"/>
      <c r="P151" s="2">
        <f>SUM(OSRRefP22_4x_0)</f>
        <v>95284.82</v>
      </c>
      <c r="Q151" s="2"/>
      <c r="R151" s="6">
        <f t="shared" si="20"/>
        <v>1.8340402846819318E-2</v>
      </c>
      <c r="S151" s="2"/>
      <c r="T151" s="2">
        <f>SUM(OSRRefT22_4x_0)</f>
        <v>65501.08</v>
      </c>
      <c r="U151" s="2"/>
      <c r="V151" s="6">
        <f t="shared" si="21"/>
        <v>1.6053090336327878E-2</v>
      </c>
      <c r="W151" s="2"/>
      <c r="X151" s="2">
        <f t="shared" si="22"/>
        <v>29783.740000000005</v>
      </c>
      <c r="Y151" s="2"/>
      <c r="Z151" s="6">
        <f t="shared" si="23"/>
        <v>0.45470609034232723</v>
      </c>
    </row>
    <row r="152" spans="1:26" s="69" customFormat="1" ht="15" hidden="1" customHeight="1" outlineLevel="2" x14ac:dyDescent="0.3">
      <c r="A152" s="26"/>
      <c r="B152" s="12" t="str">
        <f>CONCATENATE("          ","6381"," - ","BANK/CREDIT CARD FEES")</f>
        <v xml:space="preserve">          6381 - BANK/CREDIT CARD FEES</v>
      </c>
      <c r="C152" s="12"/>
      <c r="D152" s="8">
        <v>15661.69</v>
      </c>
      <c r="E152" s="3"/>
      <c r="F152" s="7">
        <f t="shared" si="16"/>
        <v>2.0113492583327081E-2</v>
      </c>
      <c r="G152" s="3"/>
      <c r="H152" s="8">
        <v>3756.42</v>
      </c>
      <c r="I152" s="3"/>
      <c r="J152" s="7">
        <f t="shared" si="17"/>
        <v>1.8519114682177071E-2</v>
      </c>
      <c r="K152" s="3"/>
      <c r="L152" s="8">
        <f t="shared" si="18"/>
        <v>11905.27</v>
      </c>
      <c r="M152" s="3"/>
      <c r="N152" s="7">
        <f t="shared" si="19"/>
        <v>3.1693128031476778</v>
      </c>
      <c r="O152" s="12"/>
      <c r="P152" s="8">
        <v>95284.82</v>
      </c>
      <c r="Q152" s="3"/>
      <c r="R152" s="7">
        <f t="shared" si="20"/>
        <v>1.8340402846819318E-2</v>
      </c>
      <c r="S152" s="3"/>
      <c r="T152" s="8">
        <v>65501.08</v>
      </c>
      <c r="U152" s="3"/>
      <c r="V152" s="7">
        <f t="shared" si="21"/>
        <v>1.6053090336327878E-2</v>
      </c>
      <c r="W152" s="3"/>
      <c r="X152" s="8">
        <f t="shared" si="22"/>
        <v>29783.740000000005</v>
      </c>
      <c r="Y152" s="3"/>
      <c r="Z152" s="7">
        <f t="shared" si="23"/>
        <v>0.45470609034232723</v>
      </c>
    </row>
    <row r="153" spans="1:26" s="68" customFormat="1" ht="15" customHeight="1" outlineLevel="1" collapsed="1" x14ac:dyDescent="0.3">
      <c r="A153" s="25"/>
      <c r="B153" s="14" t="str">
        <f>CONCATENATE("     ","Depreciation                                      ")</f>
        <v xml:space="preserve">     Depreciation                                      </v>
      </c>
      <c r="C153" s="14"/>
      <c r="D153" s="2">
        <f>SUM(OSRRefD22_5x_0)</f>
        <v>27540.04</v>
      </c>
      <c r="E153" s="2"/>
      <c r="F153" s="6">
        <f t="shared" si="16"/>
        <v>3.5368238694836324E-2</v>
      </c>
      <c r="G153" s="2"/>
      <c r="H153" s="2">
        <f>SUM(OSRRefH22_5x_0)</f>
        <v>30735.85</v>
      </c>
      <c r="I153" s="2"/>
      <c r="J153" s="6">
        <f t="shared" si="17"/>
        <v>0.15152744661251727</v>
      </c>
      <c r="K153" s="2"/>
      <c r="L153" s="2">
        <f t="shared" si="18"/>
        <v>-3195.8099999999977</v>
      </c>
      <c r="M153" s="2"/>
      <c r="N153" s="6">
        <f t="shared" si="19"/>
        <v>-0.10397662664282907</v>
      </c>
      <c r="O153" s="14"/>
      <c r="P153" s="2">
        <f>SUM(OSRRefP22_5x_0)</f>
        <v>239896.56</v>
      </c>
      <c r="Q153" s="2"/>
      <c r="R153" s="6">
        <f t="shared" si="20"/>
        <v>4.617524126052986E-2</v>
      </c>
      <c r="S153" s="2"/>
      <c r="T153" s="2">
        <f>SUM(OSRRefT22_5x_0)</f>
        <v>246182.29</v>
      </c>
      <c r="U153" s="2"/>
      <c r="V153" s="6">
        <f t="shared" si="21"/>
        <v>6.033467754385221E-2</v>
      </c>
      <c r="W153" s="2"/>
      <c r="X153" s="2">
        <f t="shared" si="22"/>
        <v>-6285.7300000000105</v>
      </c>
      <c r="Y153" s="2"/>
      <c r="Z153" s="6">
        <f t="shared" si="23"/>
        <v>-2.5532827726966103E-2</v>
      </c>
    </row>
    <row r="154" spans="1:26" s="69" customFormat="1" ht="15" hidden="1" customHeight="1" outlineLevel="2" x14ac:dyDescent="0.3">
      <c r="A154" s="26"/>
      <c r="B154" s="12" t="str">
        <f>CONCATENATE("          ","6321"," - ","BUILDING DEPRECIATION")</f>
        <v xml:space="preserve">          6321 - BUILDING DEPRECIATION</v>
      </c>
      <c r="C154" s="12"/>
      <c r="D154" s="8">
        <v>13321.71</v>
      </c>
      <c r="E154" s="3"/>
      <c r="F154" s="7">
        <f t="shared" si="16"/>
        <v>1.710837816878218E-2</v>
      </c>
      <c r="G154" s="3"/>
      <c r="H154" s="8">
        <v>16396.52</v>
      </c>
      <c r="I154" s="3"/>
      <c r="J154" s="7">
        <f t="shared" si="17"/>
        <v>8.0834686821124907E-2</v>
      </c>
      <c r="K154" s="3"/>
      <c r="L154" s="8">
        <f t="shared" si="18"/>
        <v>-3074.8100000000013</v>
      </c>
      <c r="M154" s="3"/>
      <c r="N154" s="7">
        <f t="shared" si="19"/>
        <v>-0.18752820720494356</v>
      </c>
      <c r="O154" s="12"/>
      <c r="P154" s="8">
        <v>125832.42</v>
      </c>
      <c r="Q154" s="3"/>
      <c r="R154" s="7">
        <f t="shared" si="20"/>
        <v>2.4220198705209958E-2</v>
      </c>
      <c r="S154" s="3"/>
      <c r="T154" s="8">
        <v>131172.16</v>
      </c>
      <c r="U154" s="3"/>
      <c r="V154" s="7">
        <f t="shared" si="21"/>
        <v>3.2147844494949611E-2</v>
      </c>
      <c r="W154" s="3"/>
      <c r="X154" s="8">
        <f t="shared" si="22"/>
        <v>-5339.7400000000052</v>
      </c>
      <c r="Y154" s="3"/>
      <c r="Z154" s="7">
        <f t="shared" si="23"/>
        <v>-4.0707875817551566E-2</v>
      </c>
    </row>
    <row r="155" spans="1:26" s="69" customFormat="1" ht="15" hidden="1" customHeight="1" outlineLevel="2" x14ac:dyDescent="0.3">
      <c r="A155" s="26"/>
      <c r="B155" s="12" t="str">
        <f>CONCATENATE("          ","6322"," - ","EQUIPMENT DEPRECIATION EXPENSE")</f>
        <v xml:space="preserve">          6322 - EQUIPMENT DEPRECIATION EXPENSE</v>
      </c>
      <c r="C155" s="12"/>
      <c r="D155" s="8">
        <v>14218.33</v>
      </c>
      <c r="E155" s="3"/>
      <c r="F155" s="7">
        <f t="shared" si="16"/>
        <v>1.8259860526054144E-2</v>
      </c>
      <c r="G155" s="3"/>
      <c r="H155" s="8">
        <v>14339.33</v>
      </c>
      <c r="I155" s="3"/>
      <c r="J155" s="7">
        <f t="shared" si="17"/>
        <v>7.0692759791392376E-2</v>
      </c>
      <c r="K155" s="3"/>
      <c r="L155" s="8">
        <f t="shared" si="18"/>
        <v>-121</v>
      </c>
      <c r="M155" s="3"/>
      <c r="N155" s="7">
        <f t="shared" si="19"/>
        <v>-8.4383301032893449E-3</v>
      </c>
      <c r="O155" s="12"/>
      <c r="P155" s="8">
        <v>114064.14</v>
      </c>
      <c r="Q155" s="3"/>
      <c r="R155" s="7">
        <f t="shared" si="20"/>
        <v>2.1955042555319906E-2</v>
      </c>
      <c r="S155" s="3"/>
      <c r="T155" s="8">
        <v>115010.13</v>
      </c>
      <c r="U155" s="3"/>
      <c r="V155" s="7">
        <f t="shared" si="21"/>
        <v>2.8186833048902599E-2</v>
      </c>
      <c r="W155" s="3"/>
      <c r="X155" s="8">
        <f t="shared" si="22"/>
        <v>-945.99000000000524</v>
      </c>
      <c r="Y155" s="3"/>
      <c r="Z155" s="7">
        <f t="shared" si="23"/>
        <v>-8.2252754605181746E-3</v>
      </c>
    </row>
    <row r="156" spans="1:26" s="68" customFormat="1" ht="15" customHeight="1" outlineLevel="1" collapsed="1" x14ac:dyDescent="0.3">
      <c r="A156" s="25"/>
      <c r="B156" s="14" t="str">
        <f>CONCATENATE("     ","Discounts and Markdowns                           ")</f>
        <v xml:space="preserve">     Discounts and Markdowns                           </v>
      </c>
      <c r="C156" s="14"/>
      <c r="D156" s="2">
        <f>SUM(OSRRefD22_6x_0)</f>
        <v>0</v>
      </c>
      <c r="E156" s="2"/>
      <c r="F156" s="6">
        <f t="shared" si="16"/>
        <v>0</v>
      </c>
      <c r="G156" s="2"/>
      <c r="H156" s="2">
        <f>SUM(OSRRefH22_6x_0)</f>
        <v>42.86</v>
      </c>
      <c r="I156" s="2"/>
      <c r="J156" s="6">
        <f t="shared" si="17"/>
        <v>2.1129939018483271E-4</v>
      </c>
      <c r="K156" s="2"/>
      <c r="L156" s="2">
        <f t="shared" si="18"/>
        <v>-42.86</v>
      </c>
      <c r="M156" s="2"/>
      <c r="N156" s="6">
        <f t="shared" si="19"/>
        <v>-1</v>
      </c>
      <c r="O156" s="14"/>
      <c r="P156" s="2">
        <f>SUM(OSRRefP22_6x_0)</f>
        <v>2064.5499999999997</v>
      </c>
      <c r="Q156" s="2"/>
      <c r="R156" s="6">
        <f t="shared" si="20"/>
        <v>3.973841656771857E-4</v>
      </c>
      <c r="S156" s="2"/>
      <c r="T156" s="2">
        <f>SUM(OSRRefT22_6x_0)</f>
        <v>0</v>
      </c>
      <c r="U156" s="2"/>
      <c r="V156" s="6">
        <f t="shared" si="21"/>
        <v>0</v>
      </c>
      <c r="W156" s="2"/>
      <c r="X156" s="2">
        <f t="shared" si="22"/>
        <v>2064.5499999999997</v>
      </c>
      <c r="Y156" s="2"/>
      <c r="Z156" s="6">
        <f t="shared" si="23"/>
        <v>0</v>
      </c>
    </row>
    <row r="157" spans="1:26" s="69" customFormat="1" ht="15" hidden="1" customHeight="1" outlineLevel="2" x14ac:dyDescent="0.3">
      <c r="A157" s="26"/>
      <c r="B157" s="12" t="str">
        <f>CONCATENATE("          ","6382"," - ","DISCOUNTS/MARK DOWNS")</f>
        <v xml:space="preserve">          6382 - DISCOUNTS/MARK DOWNS</v>
      </c>
      <c r="C157" s="12"/>
      <c r="D157" s="8"/>
      <c r="E157" s="3"/>
      <c r="F157" s="7">
        <f t="shared" si="16"/>
        <v>0</v>
      </c>
      <c r="G157" s="3"/>
      <c r="H157" s="8">
        <v>0</v>
      </c>
      <c r="I157" s="3"/>
      <c r="J157" s="7">
        <f t="shared" si="17"/>
        <v>0</v>
      </c>
      <c r="K157" s="3"/>
      <c r="L157" s="8">
        <f t="shared" si="18"/>
        <v>0</v>
      </c>
      <c r="M157" s="3"/>
      <c r="N157" s="7">
        <f t="shared" si="19"/>
        <v>0</v>
      </c>
      <c r="O157" s="12"/>
      <c r="P157" s="8">
        <v>2171.35</v>
      </c>
      <c r="Q157" s="3"/>
      <c r="R157" s="7">
        <f t="shared" si="20"/>
        <v>4.1794100803717869E-4</v>
      </c>
      <c r="S157" s="3"/>
      <c r="T157" s="8">
        <v>0</v>
      </c>
      <c r="U157" s="3"/>
      <c r="V157" s="7">
        <f t="shared" si="21"/>
        <v>0</v>
      </c>
      <c r="W157" s="3"/>
      <c r="X157" s="8">
        <f t="shared" si="22"/>
        <v>2171.35</v>
      </c>
      <c r="Y157" s="3"/>
      <c r="Z157" s="7">
        <f t="shared" si="23"/>
        <v>0</v>
      </c>
    </row>
    <row r="158" spans="1:26" s="69" customFormat="1" ht="15" hidden="1" customHeight="1" outlineLevel="2" x14ac:dyDescent="0.3">
      <c r="A158" s="26"/>
      <c r="B158" s="12" t="str">
        <f>CONCATENATE("          ","9175"," - ","EARNED DISCOUNTS")</f>
        <v xml:space="preserve">          9175 - EARNED DISCOUNTS</v>
      </c>
      <c r="C158" s="12"/>
      <c r="D158" s="8">
        <v>0</v>
      </c>
      <c r="E158" s="3"/>
      <c r="F158" s="7">
        <f t="shared" ref="F158:F189" si="24">IF(D$12=0,0,D158/D$12)</f>
        <v>0</v>
      </c>
      <c r="G158" s="3"/>
      <c r="H158" s="8">
        <v>42.86</v>
      </c>
      <c r="I158" s="3"/>
      <c r="J158" s="7">
        <f t="shared" ref="J158:J189" si="25">IF(H$12=0,0,H158/H$12)</f>
        <v>2.1129939018483271E-4</v>
      </c>
      <c r="K158" s="3"/>
      <c r="L158" s="8">
        <f t="shared" ref="L158:L189" si="26">+D158-H158</f>
        <v>-42.86</v>
      </c>
      <c r="M158" s="3"/>
      <c r="N158" s="7">
        <f t="shared" ref="N158:N189" si="27">IF(H158=0,0,L158/H158)</f>
        <v>-1</v>
      </c>
      <c r="O158" s="12"/>
      <c r="P158" s="8">
        <v>-106.8</v>
      </c>
      <c r="Q158" s="3"/>
      <c r="R158" s="7">
        <f t="shared" ref="R158:R189" si="28">IF(P$12=0,0,P158/P$12)</f>
        <v>-2.0556842359992947E-5</v>
      </c>
      <c r="S158" s="3"/>
      <c r="T158" s="8">
        <v>0</v>
      </c>
      <c r="U158" s="3"/>
      <c r="V158" s="7">
        <f t="shared" ref="V158:V189" si="29">IF(T$12=0,0,T158/T$12)</f>
        <v>0</v>
      </c>
      <c r="W158" s="3"/>
      <c r="X158" s="8">
        <f t="shared" ref="X158:X189" si="30">+P158-T158</f>
        <v>-106.8</v>
      </c>
      <c r="Y158" s="3"/>
      <c r="Z158" s="7">
        <f t="shared" ref="Z158:Z189" si="31">IF(T158=0,0,X158/T158)</f>
        <v>0</v>
      </c>
    </row>
    <row r="159" spans="1:26" s="68" customFormat="1" ht="15" customHeight="1" outlineLevel="1" collapsed="1" x14ac:dyDescent="0.3">
      <c r="A159" s="25"/>
      <c r="B159" s="14" t="str">
        <f>CONCATENATE("     ","Donations                                         ")</f>
        <v xml:space="preserve">     Donations                                         </v>
      </c>
      <c r="C159" s="14"/>
      <c r="D159" s="2">
        <f>SUM(OSRRefD22_7x_0)</f>
        <v>2998.05</v>
      </c>
      <c r="E159" s="2"/>
      <c r="F159" s="6">
        <f t="shared" si="24"/>
        <v>3.8502394338953048E-3</v>
      </c>
      <c r="G159" s="2"/>
      <c r="H159" s="2">
        <f>SUM(OSRRefH22_7x_0)</f>
        <v>0</v>
      </c>
      <c r="I159" s="2"/>
      <c r="J159" s="6">
        <f t="shared" si="25"/>
        <v>0</v>
      </c>
      <c r="K159" s="2"/>
      <c r="L159" s="2">
        <f t="shared" si="26"/>
        <v>2998.05</v>
      </c>
      <c r="M159" s="2"/>
      <c r="N159" s="6">
        <f t="shared" si="27"/>
        <v>0</v>
      </c>
      <c r="O159" s="14"/>
      <c r="P159" s="2">
        <f>SUM(OSRRefP22_7x_0)</f>
        <v>5818.27</v>
      </c>
      <c r="Q159" s="2"/>
      <c r="R159" s="6">
        <f t="shared" si="28"/>
        <v>1.1198994306917244E-3</v>
      </c>
      <c r="S159" s="2"/>
      <c r="T159" s="2">
        <f>SUM(OSRRefT22_7x_0)</f>
        <v>0</v>
      </c>
      <c r="U159" s="2"/>
      <c r="V159" s="6">
        <f t="shared" si="29"/>
        <v>0</v>
      </c>
      <c r="W159" s="2"/>
      <c r="X159" s="2">
        <f t="shared" si="30"/>
        <v>5818.27</v>
      </c>
      <c r="Y159" s="2"/>
      <c r="Z159" s="6">
        <f t="shared" si="31"/>
        <v>0</v>
      </c>
    </row>
    <row r="160" spans="1:26" s="69" customFormat="1" ht="15" hidden="1" customHeight="1" outlineLevel="2" x14ac:dyDescent="0.3">
      <c r="A160" s="26"/>
      <c r="B160" s="12" t="str">
        <f>CONCATENATE("          ","6399"," - ","DONATION-ON CAMPUS")</f>
        <v xml:space="preserve">          6399 - DONATION-ON CAMPUS</v>
      </c>
      <c r="C160" s="12"/>
      <c r="D160" s="8">
        <v>2998.05</v>
      </c>
      <c r="E160" s="3"/>
      <c r="F160" s="7">
        <f t="shared" si="24"/>
        <v>3.8502394338953048E-3</v>
      </c>
      <c r="G160" s="3"/>
      <c r="H160" s="8"/>
      <c r="I160" s="3"/>
      <c r="J160" s="7">
        <f t="shared" si="25"/>
        <v>0</v>
      </c>
      <c r="K160" s="3"/>
      <c r="L160" s="8">
        <f t="shared" si="26"/>
        <v>2998.05</v>
      </c>
      <c r="M160" s="3"/>
      <c r="N160" s="7">
        <f t="shared" si="27"/>
        <v>0</v>
      </c>
      <c r="O160" s="12"/>
      <c r="P160" s="8">
        <v>5818.27</v>
      </c>
      <c r="Q160" s="3"/>
      <c r="R160" s="7">
        <f t="shared" si="28"/>
        <v>1.1198994306917244E-3</v>
      </c>
      <c r="S160" s="3"/>
      <c r="T160" s="8"/>
      <c r="U160" s="3"/>
      <c r="V160" s="7">
        <f t="shared" si="29"/>
        <v>0</v>
      </c>
      <c r="W160" s="3"/>
      <c r="X160" s="8">
        <f t="shared" si="30"/>
        <v>5818.27</v>
      </c>
      <c r="Y160" s="3"/>
      <c r="Z160" s="7">
        <f t="shared" si="31"/>
        <v>0</v>
      </c>
    </row>
    <row r="161" spans="1:26" s="68" customFormat="1" ht="15" customHeight="1" outlineLevel="1" collapsed="1" x14ac:dyDescent="0.3">
      <c r="A161" s="25"/>
      <c r="B161" s="14" t="str">
        <f>CONCATENATE("     ","Employees' Appreciation                           ")</f>
        <v xml:space="preserve">     Employees' Appreciation                           </v>
      </c>
      <c r="C161" s="14"/>
      <c r="D161" s="2">
        <f>SUM(OSRRefD22_8x_0)</f>
        <v>0</v>
      </c>
      <c r="E161" s="2"/>
      <c r="F161" s="6">
        <f t="shared" si="24"/>
        <v>0</v>
      </c>
      <c r="G161" s="2"/>
      <c r="H161" s="2">
        <f>SUM(OSRRefH22_8x_0)</f>
        <v>0</v>
      </c>
      <c r="I161" s="2"/>
      <c r="J161" s="6">
        <f t="shared" si="25"/>
        <v>0</v>
      </c>
      <c r="K161" s="2"/>
      <c r="L161" s="2">
        <f t="shared" si="26"/>
        <v>0</v>
      </c>
      <c r="M161" s="2"/>
      <c r="N161" s="6">
        <f t="shared" si="27"/>
        <v>0</v>
      </c>
      <c r="O161" s="14"/>
      <c r="P161" s="2">
        <f>SUM(OSRRefP22_8x_0)</f>
        <v>4245.1899999999996</v>
      </c>
      <c r="Q161" s="2"/>
      <c r="R161" s="6">
        <f t="shared" si="28"/>
        <v>8.1711331103200794E-4</v>
      </c>
      <c r="S161" s="2"/>
      <c r="T161" s="2">
        <f>SUM(OSRRefT22_8x_0)</f>
        <v>186.03</v>
      </c>
      <c r="U161" s="2"/>
      <c r="V161" s="6">
        <f t="shared" si="29"/>
        <v>4.5592475654860578E-5</v>
      </c>
      <c r="W161" s="2"/>
      <c r="X161" s="2">
        <f t="shared" si="30"/>
        <v>4059.1599999999994</v>
      </c>
      <c r="Y161" s="2"/>
      <c r="Z161" s="6">
        <f t="shared" si="31"/>
        <v>21.819921518034722</v>
      </c>
    </row>
    <row r="162" spans="1:26" s="69" customFormat="1" ht="15" hidden="1" customHeight="1" outlineLevel="2" x14ac:dyDescent="0.3">
      <c r="A162" s="26"/>
      <c r="B162" s="12" t="str">
        <f>CONCATENATE("          ","6277"," - ","EMPLOYEE APPRECIATION")</f>
        <v xml:space="preserve">          6277 - EMPLOYEE APPRECIATION</v>
      </c>
      <c r="C162" s="12"/>
      <c r="D162" s="8"/>
      <c r="E162" s="3"/>
      <c r="F162" s="7">
        <f t="shared" si="24"/>
        <v>0</v>
      </c>
      <c r="G162" s="3"/>
      <c r="H162" s="8">
        <v>0</v>
      </c>
      <c r="I162" s="3"/>
      <c r="J162" s="7">
        <f t="shared" si="25"/>
        <v>0</v>
      </c>
      <c r="K162" s="3"/>
      <c r="L162" s="8">
        <f t="shared" si="26"/>
        <v>0</v>
      </c>
      <c r="M162" s="3"/>
      <c r="N162" s="7">
        <f t="shared" si="27"/>
        <v>0</v>
      </c>
      <c r="O162" s="12"/>
      <c r="P162" s="8">
        <v>4245.1899999999996</v>
      </c>
      <c r="Q162" s="3"/>
      <c r="R162" s="7">
        <f t="shared" si="28"/>
        <v>8.1711331103200794E-4</v>
      </c>
      <c r="S162" s="3"/>
      <c r="T162" s="8">
        <v>186.03</v>
      </c>
      <c r="U162" s="3"/>
      <c r="V162" s="7">
        <f t="shared" si="29"/>
        <v>4.5592475654860578E-5</v>
      </c>
      <c r="W162" s="3"/>
      <c r="X162" s="8">
        <f t="shared" si="30"/>
        <v>4059.1599999999994</v>
      </c>
      <c r="Y162" s="3"/>
      <c r="Z162" s="7">
        <f t="shared" si="31"/>
        <v>21.819921518034722</v>
      </c>
    </row>
    <row r="163" spans="1:26" s="68" customFormat="1" ht="15" customHeight="1" outlineLevel="1" collapsed="1" x14ac:dyDescent="0.3">
      <c r="A163" s="25"/>
      <c r="B163" s="14" t="str">
        <f>CONCATENATE("     ","Equipment Rental                                  ")</f>
        <v xml:space="preserve">     Equipment Rental                                  </v>
      </c>
      <c r="C163" s="14"/>
      <c r="D163" s="2">
        <f>SUM(OSRRefD22_9x_0)</f>
        <v>1388.16</v>
      </c>
      <c r="E163" s="2"/>
      <c r="F163" s="6">
        <f t="shared" si="24"/>
        <v>1.7827415728744037E-3</v>
      </c>
      <c r="G163" s="2"/>
      <c r="H163" s="2">
        <f>SUM(OSRRefH22_9x_0)</f>
        <v>1784.21</v>
      </c>
      <c r="I163" s="2"/>
      <c r="J163" s="6">
        <f t="shared" si="25"/>
        <v>8.7961382398898825E-3</v>
      </c>
      <c r="K163" s="2"/>
      <c r="L163" s="2">
        <f t="shared" si="26"/>
        <v>-396.04999999999995</v>
      </c>
      <c r="M163" s="2"/>
      <c r="N163" s="6">
        <f t="shared" si="27"/>
        <v>-0.22197499173303589</v>
      </c>
      <c r="O163" s="14"/>
      <c r="P163" s="2">
        <f>SUM(OSRRefP22_9x_0)</f>
        <v>12698.1</v>
      </c>
      <c r="Q163" s="2"/>
      <c r="R163" s="6">
        <f t="shared" si="28"/>
        <v>2.4441277150882624E-3</v>
      </c>
      <c r="S163" s="2"/>
      <c r="T163" s="2">
        <f>SUM(OSRRefT22_9x_0)</f>
        <v>12149.11</v>
      </c>
      <c r="U163" s="2"/>
      <c r="V163" s="6">
        <f t="shared" si="29"/>
        <v>2.9775197651089784E-3</v>
      </c>
      <c r="W163" s="2"/>
      <c r="X163" s="2">
        <f t="shared" si="30"/>
        <v>548.98999999999978</v>
      </c>
      <c r="Y163" s="2"/>
      <c r="Z163" s="6">
        <f t="shared" si="31"/>
        <v>4.5187672183394485E-2</v>
      </c>
    </row>
    <row r="164" spans="1:26" s="69" customFormat="1" ht="15" hidden="1" customHeight="1" outlineLevel="2" x14ac:dyDescent="0.3">
      <c r="A164" s="26"/>
      <c r="B164" s="12" t="str">
        <f>CONCATENATE("          ","6351"," - ","EQUIPMENT RENTAL")</f>
        <v xml:space="preserve">          6351 - EQUIPMENT RENTAL</v>
      </c>
      <c r="C164" s="12"/>
      <c r="D164" s="8">
        <v>1388.16</v>
      </c>
      <c r="E164" s="3"/>
      <c r="F164" s="7">
        <f t="shared" si="24"/>
        <v>1.7827415728744037E-3</v>
      </c>
      <c r="G164" s="3"/>
      <c r="H164" s="8">
        <v>1784.21</v>
      </c>
      <c r="I164" s="3"/>
      <c r="J164" s="7">
        <f t="shared" si="25"/>
        <v>8.7961382398898825E-3</v>
      </c>
      <c r="K164" s="3"/>
      <c r="L164" s="8">
        <f t="shared" si="26"/>
        <v>-396.04999999999995</v>
      </c>
      <c r="M164" s="3"/>
      <c r="N164" s="7">
        <f t="shared" si="27"/>
        <v>-0.22197499173303589</v>
      </c>
      <c r="O164" s="12"/>
      <c r="P164" s="8">
        <v>12698.1</v>
      </c>
      <c r="Q164" s="3"/>
      <c r="R164" s="7">
        <f t="shared" si="28"/>
        <v>2.4441277150882624E-3</v>
      </c>
      <c r="S164" s="3"/>
      <c r="T164" s="8">
        <v>12149.11</v>
      </c>
      <c r="U164" s="3"/>
      <c r="V164" s="7">
        <f t="shared" si="29"/>
        <v>2.9775197651089784E-3</v>
      </c>
      <c r="W164" s="3"/>
      <c r="X164" s="8">
        <f t="shared" si="30"/>
        <v>548.98999999999978</v>
      </c>
      <c r="Y164" s="3"/>
      <c r="Z164" s="7">
        <f t="shared" si="31"/>
        <v>4.5187672183394485E-2</v>
      </c>
    </row>
    <row r="165" spans="1:26" s="68" customFormat="1" ht="15" customHeight="1" outlineLevel="1" collapsed="1" x14ac:dyDescent="0.3">
      <c r="A165" s="25"/>
      <c r="B165" s="14" t="str">
        <f>CONCATENATE("     ","Freight out/Postage                               ")</f>
        <v xml:space="preserve">     Freight out/Postage                               </v>
      </c>
      <c r="C165" s="14"/>
      <c r="D165" s="2">
        <f>SUM(OSRRefD22_10x_0)</f>
        <v>-7059.8099999999995</v>
      </c>
      <c r="E165" s="2"/>
      <c r="F165" s="6">
        <f t="shared" si="24"/>
        <v>-9.0665462076377681E-3</v>
      </c>
      <c r="G165" s="2"/>
      <c r="H165" s="2">
        <f>SUM(OSRRefH22_10x_0)</f>
        <v>4165.4900000000016</v>
      </c>
      <c r="I165" s="2"/>
      <c r="J165" s="6">
        <f t="shared" si="25"/>
        <v>2.0535825870765727E-2</v>
      </c>
      <c r="K165" s="2"/>
      <c r="L165" s="2">
        <f t="shared" si="26"/>
        <v>-11225.300000000001</v>
      </c>
      <c r="M165" s="2"/>
      <c r="N165" s="6">
        <f t="shared" si="27"/>
        <v>-2.6948330208450857</v>
      </c>
      <c r="O165" s="14"/>
      <c r="P165" s="2">
        <f>SUM(OSRRefP22_10x_0)</f>
        <v>-46507.91</v>
      </c>
      <c r="Q165" s="2"/>
      <c r="R165" s="6">
        <f t="shared" si="28"/>
        <v>-8.9518330932840794E-3</v>
      </c>
      <c r="S165" s="2"/>
      <c r="T165" s="2">
        <f>SUM(OSRRefT22_10x_0)</f>
        <v>-32653.899999999994</v>
      </c>
      <c r="U165" s="2"/>
      <c r="V165" s="6">
        <f t="shared" si="29"/>
        <v>-8.0028605105964181E-3</v>
      </c>
      <c r="W165" s="2"/>
      <c r="X165" s="2">
        <f t="shared" si="30"/>
        <v>-13854.010000000009</v>
      </c>
      <c r="Y165" s="2"/>
      <c r="Z165" s="6">
        <f t="shared" si="31"/>
        <v>0.42426815786169531</v>
      </c>
    </row>
    <row r="166" spans="1:26" s="69" customFormat="1" ht="15" hidden="1" customHeight="1" outlineLevel="2" x14ac:dyDescent="0.3">
      <c r="A166" s="26"/>
      <c r="B166" s="12" t="str">
        <f>CONCATENATE("          ","6305"," - ","FREIGHT OUT")</f>
        <v xml:space="preserve">          6305 - FREIGHT OUT</v>
      </c>
      <c r="C166" s="12"/>
      <c r="D166" s="8">
        <v>7594.99</v>
      </c>
      <c r="E166" s="3"/>
      <c r="F166" s="7">
        <f t="shared" si="24"/>
        <v>9.7538500018480336E-3</v>
      </c>
      <c r="G166" s="3"/>
      <c r="H166" s="8">
        <v>26178.02</v>
      </c>
      <c r="I166" s="3"/>
      <c r="J166" s="7">
        <f t="shared" si="25"/>
        <v>0.12905738829319538</v>
      </c>
      <c r="K166" s="3"/>
      <c r="L166" s="8">
        <f t="shared" si="26"/>
        <v>-18583.03</v>
      </c>
      <c r="M166" s="3"/>
      <c r="N166" s="7">
        <f t="shared" si="27"/>
        <v>-0.70987148760677843</v>
      </c>
      <c r="O166" s="12"/>
      <c r="P166" s="8">
        <v>101731.44</v>
      </c>
      <c r="Q166" s="3"/>
      <c r="R166" s="7">
        <f t="shared" si="28"/>
        <v>1.9581246958193643E-2</v>
      </c>
      <c r="S166" s="3"/>
      <c r="T166" s="8">
        <v>161667.22</v>
      </c>
      <c r="U166" s="3"/>
      <c r="V166" s="7">
        <f t="shared" si="29"/>
        <v>3.9621613675423259E-2</v>
      </c>
      <c r="W166" s="3"/>
      <c r="X166" s="8">
        <f t="shared" si="30"/>
        <v>-59935.78</v>
      </c>
      <c r="Y166" s="3"/>
      <c r="Z166" s="7">
        <f t="shared" si="31"/>
        <v>-0.37073551459597065</v>
      </c>
    </row>
    <row r="167" spans="1:26" s="69" customFormat="1" ht="15" hidden="1" customHeight="1" outlineLevel="2" x14ac:dyDescent="0.3">
      <c r="A167" s="26"/>
      <c r="B167" s="12" t="str">
        <f>CONCATENATE("          ","6307"," - ","POSTAGE")</f>
        <v xml:space="preserve">          6307 - POSTAGE</v>
      </c>
      <c r="C167" s="12"/>
      <c r="D167" s="8">
        <v>-14654.8</v>
      </c>
      <c r="E167" s="3"/>
      <c r="F167" s="7">
        <f t="shared" si="24"/>
        <v>-1.88203962094858E-2</v>
      </c>
      <c r="G167" s="3"/>
      <c r="H167" s="8">
        <v>-22012.53</v>
      </c>
      <c r="I167" s="3"/>
      <c r="J167" s="7">
        <f t="shared" si="25"/>
        <v>-0.10852156242242966</v>
      </c>
      <c r="K167" s="3"/>
      <c r="L167" s="8">
        <f t="shared" si="26"/>
        <v>7357.73</v>
      </c>
      <c r="M167" s="3"/>
      <c r="N167" s="7">
        <f t="shared" si="27"/>
        <v>-0.33425190107634151</v>
      </c>
      <c r="O167" s="12"/>
      <c r="P167" s="8">
        <v>-148239.35</v>
      </c>
      <c r="Q167" s="3"/>
      <c r="R167" s="7">
        <f t="shared" si="28"/>
        <v>-2.853308005147772E-2</v>
      </c>
      <c r="S167" s="3"/>
      <c r="T167" s="8">
        <v>-194321.12</v>
      </c>
      <c r="U167" s="3"/>
      <c r="V167" s="7">
        <f t="shared" si="29"/>
        <v>-4.7624474186019679E-2</v>
      </c>
      <c r="W167" s="3"/>
      <c r="X167" s="8">
        <f t="shared" si="30"/>
        <v>46081.76999999999</v>
      </c>
      <c r="Y167" s="3"/>
      <c r="Z167" s="7">
        <f t="shared" si="31"/>
        <v>-0.23714236517368772</v>
      </c>
    </row>
    <row r="168" spans="1:26" s="68" customFormat="1" ht="15" customHeight="1" outlineLevel="1" collapsed="1" x14ac:dyDescent="0.3">
      <c r="A168" s="25"/>
      <c r="B168" s="14" t="str">
        <f>CONCATENATE("     ","General                                           ")</f>
        <v xml:space="preserve">     General                                           </v>
      </c>
      <c r="C168" s="14"/>
      <c r="D168" s="2">
        <f>SUM(OSRRefD22_11x_0)</f>
        <v>1424.16</v>
      </c>
      <c r="E168" s="2"/>
      <c r="F168" s="6">
        <f t="shared" si="24"/>
        <v>1.8289744974821424E-3</v>
      </c>
      <c r="G168" s="2"/>
      <c r="H168" s="2">
        <f>SUM(OSRRefH22_11x_0)</f>
        <v>-4.21</v>
      </c>
      <c r="I168" s="2"/>
      <c r="J168" s="6">
        <f t="shared" si="25"/>
        <v>-2.0755259745173721E-5</v>
      </c>
      <c r="K168" s="2"/>
      <c r="L168" s="2">
        <f t="shared" si="26"/>
        <v>1428.3700000000001</v>
      </c>
      <c r="M168" s="2"/>
      <c r="N168" s="6">
        <f t="shared" si="27"/>
        <v>-339.2802850356295</v>
      </c>
      <c r="O168" s="14"/>
      <c r="P168" s="2">
        <f>SUM(OSRRefP22_11x_0)</f>
        <v>5755.35</v>
      </c>
      <c r="Q168" s="2"/>
      <c r="R168" s="6">
        <f t="shared" si="28"/>
        <v>1.1077886018406873E-3</v>
      </c>
      <c r="S168" s="2"/>
      <c r="T168" s="2">
        <f>SUM(OSRRefT22_11x_0)</f>
        <v>2509.79</v>
      </c>
      <c r="U168" s="2"/>
      <c r="V168" s="6">
        <f t="shared" si="29"/>
        <v>6.1510261502882612E-4</v>
      </c>
      <c r="W168" s="2"/>
      <c r="X168" s="2">
        <f t="shared" si="30"/>
        <v>3245.5600000000004</v>
      </c>
      <c r="Y168" s="2"/>
      <c r="Z168" s="6">
        <f t="shared" si="31"/>
        <v>1.2931599854967948</v>
      </c>
    </row>
    <row r="169" spans="1:26" s="69" customFormat="1" ht="15" hidden="1" customHeight="1" outlineLevel="2" x14ac:dyDescent="0.3">
      <c r="A169" s="26"/>
      <c r="B169" s="12" t="str">
        <f>CONCATENATE("          ","6279"," - ","GENERAL EXPENSE")</f>
        <v xml:space="preserve">          6279 - GENERAL EXPENSE</v>
      </c>
      <c r="C169" s="12"/>
      <c r="D169" s="8">
        <v>1424.16</v>
      </c>
      <c r="E169" s="3"/>
      <c r="F169" s="7">
        <f t="shared" si="24"/>
        <v>1.8289744974821424E-3</v>
      </c>
      <c r="G169" s="3"/>
      <c r="H169" s="8">
        <v>-4.21</v>
      </c>
      <c r="I169" s="3"/>
      <c r="J169" s="7">
        <f t="shared" si="25"/>
        <v>-2.0755259745173721E-5</v>
      </c>
      <c r="K169" s="3"/>
      <c r="L169" s="8">
        <f t="shared" si="26"/>
        <v>1428.3700000000001</v>
      </c>
      <c r="M169" s="3"/>
      <c r="N169" s="7">
        <f t="shared" si="27"/>
        <v>-339.2802850356295</v>
      </c>
      <c r="O169" s="12"/>
      <c r="P169" s="8">
        <v>5755.35</v>
      </c>
      <c r="Q169" s="3"/>
      <c r="R169" s="7">
        <f t="shared" si="28"/>
        <v>1.1077886018406873E-3</v>
      </c>
      <c r="S169" s="3"/>
      <c r="T169" s="8">
        <v>2509.79</v>
      </c>
      <c r="U169" s="3"/>
      <c r="V169" s="7">
        <f t="shared" si="29"/>
        <v>6.1510261502882612E-4</v>
      </c>
      <c r="W169" s="3"/>
      <c r="X169" s="8">
        <f t="shared" si="30"/>
        <v>3245.5600000000004</v>
      </c>
      <c r="Y169" s="3"/>
      <c r="Z169" s="7">
        <f t="shared" si="31"/>
        <v>1.2931599854967948</v>
      </c>
    </row>
    <row r="170" spans="1:26" s="68" customFormat="1" ht="15" customHeight="1" outlineLevel="1" collapsed="1" x14ac:dyDescent="0.3">
      <c r="A170" s="25"/>
      <c r="B170" s="14" t="str">
        <f>CONCATENATE("     ","Insurance                                         ")</f>
        <v xml:space="preserve">     Insurance                                         </v>
      </c>
      <c r="C170" s="14"/>
      <c r="D170" s="2">
        <f>SUM(OSRRefD22_12x_0)</f>
        <v>5494.57</v>
      </c>
      <c r="E170" s="2"/>
      <c r="F170" s="6">
        <f t="shared" si="24"/>
        <v>7.0563900156095207E-3</v>
      </c>
      <c r="G170" s="2"/>
      <c r="H170" s="2">
        <f>SUM(OSRRefH22_12x_0)</f>
        <v>4044.74</v>
      </c>
      <c r="I170" s="2"/>
      <c r="J170" s="6">
        <f t="shared" si="25"/>
        <v>1.9940529525342983E-2</v>
      </c>
      <c r="K170" s="2"/>
      <c r="L170" s="2">
        <f t="shared" si="26"/>
        <v>1449.83</v>
      </c>
      <c r="M170" s="2"/>
      <c r="N170" s="6">
        <f t="shared" si="27"/>
        <v>0.35844825625380122</v>
      </c>
      <c r="O170" s="14"/>
      <c r="P170" s="2">
        <f>SUM(OSRRefP22_12x_0)</f>
        <v>43956.56</v>
      </c>
      <c r="Q170" s="2"/>
      <c r="R170" s="6">
        <f t="shared" si="28"/>
        <v>8.4607497622431783E-3</v>
      </c>
      <c r="S170" s="2"/>
      <c r="T170" s="2">
        <f>SUM(OSRRefT22_12x_0)</f>
        <v>32357.919999999998</v>
      </c>
      <c r="U170" s="2"/>
      <c r="V170" s="6">
        <f t="shared" si="29"/>
        <v>7.9303213451697371E-3</v>
      </c>
      <c r="W170" s="2"/>
      <c r="X170" s="2">
        <f t="shared" si="30"/>
        <v>11598.64</v>
      </c>
      <c r="Y170" s="2"/>
      <c r="Z170" s="6">
        <f t="shared" si="31"/>
        <v>0.35844825625380122</v>
      </c>
    </row>
    <row r="171" spans="1:26" s="69" customFormat="1" ht="15" hidden="1" customHeight="1" outlineLevel="2" x14ac:dyDescent="0.3">
      <c r="A171" s="26"/>
      <c r="B171" s="12" t="str">
        <f>CONCATENATE("          ","6314"," - ","LIABILITY INSURANCE")</f>
        <v xml:space="preserve">          6314 - LIABILITY INSURANCE</v>
      </c>
      <c r="C171" s="12"/>
      <c r="D171" s="8">
        <v>5494.57</v>
      </c>
      <c r="E171" s="3"/>
      <c r="F171" s="7">
        <f t="shared" si="24"/>
        <v>7.0563900156095207E-3</v>
      </c>
      <c r="G171" s="3"/>
      <c r="H171" s="8">
        <v>4044.74</v>
      </c>
      <c r="I171" s="3"/>
      <c r="J171" s="7">
        <f t="shared" si="25"/>
        <v>1.9940529525342983E-2</v>
      </c>
      <c r="K171" s="3"/>
      <c r="L171" s="8">
        <f t="shared" si="26"/>
        <v>1449.83</v>
      </c>
      <c r="M171" s="3"/>
      <c r="N171" s="7">
        <f t="shared" si="27"/>
        <v>0.35844825625380122</v>
      </c>
      <c r="O171" s="12"/>
      <c r="P171" s="8">
        <v>43956.56</v>
      </c>
      <c r="Q171" s="3"/>
      <c r="R171" s="7">
        <f t="shared" si="28"/>
        <v>8.4607497622431783E-3</v>
      </c>
      <c r="S171" s="3"/>
      <c r="T171" s="8">
        <v>32357.919999999998</v>
      </c>
      <c r="U171" s="3"/>
      <c r="V171" s="7">
        <f t="shared" si="29"/>
        <v>7.9303213451697371E-3</v>
      </c>
      <c r="W171" s="3"/>
      <c r="X171" s="8">
        <f t="shared" si="30"/>
        <v>11598.64</v>
      </c>
      <c r="Y171" s="3"/>
      <c r="Z171" s="7">
        <f t="shared" si="31"/>
        <v>0.35844825625380122</v>
      </c>
    </row>
    <row r="172" spans="1:26" s="68" customFormat="1" ht="15" customHeight="1" outlineLevel="1" collapsed="1" x14ac:dyDescent="0.3">
      <c r="A172" s="25"/>
      <c r="B172" s="14" t="str">
        <f>CONCATENATE("     ","Inventory Adjustment                              ")</f>
        <v xml:space="preserve">     Inventory Adjustment                              </v>
      </c>
      <c r="C172" s="14"/>
      <c r="D172" s="2">
        <f>SUM(OSRRefD22_13x_0)</f>
        <v>5100</v>
      </c>
      <c r="E172" s="2"/>
      <c r="F172" s="6">
        <f t="shared" si="24"/>
        <v>6.549664319429647E-3</v>
      </c>
      <c r="G172" s="2"/>
      <c r="H172" s="2">
        <f>SUM(OSRRefH22_13x_0)</f>
        <v>2100</v>
      </c>
      <c r="I172" s="2"/>
      <c r="J172" s="6">
        <f t="shared" si="25"/>
        <v>1.0352979920395444E-2</v>
      </c>
      <c r="K172" s="2"/>
      <c r="L172" s="2">
        <f t="shared" si="26"/>
        <v>3000</v>
      </c>
      <c r="M172" s="2"/>
      <c r="N172" s="6">
        <f t="shared" si="27"/>
        <v>1.4285714285714286</v>
      </c>
      <c r="O172" s="14"/>
      <c r="P172" s="2">
        <f>SUM(OSRRefP22_13x_0)</f>
        <v>44800</v>
      </c>
      <c r="Q172" s="2"/>
      <c r="R172" s="6">
        <f t="shared" si="28"/>
        <v>8.6230949225438568E-3</v>
      </c>
      <c r="S172" s="2"/>
      <c r="T172" s="2">
        <f>SUM(OSRRefT22_13x_0)</f>
        <v>21800</v>
      </c>
      <c r="U172" s="2"/>
      <c r="V172" s="6">
        <f t="shared" si="29"/>
        <v>5.3427725059181884E-3</v>
      </c>
      <c r="W172" s="2"/>
      <c r="X172" s="2">
        <f t="shared" si="30"/>
        <v>23000</v>
      </c>
      <c r="Y172" s="2"/>
      <c r="Z172" s="6">
        <f t="shared" si="31"/>
        <v>1.0550458715596329</v>
      </c>
    </row>
    <row r="173" spans="1:26" s="69" customFormat="1" ht="15" hidden="1" customHeight="1" outlineLevel="2" x14ac:dyDescent="0.3">
      <c r="A173" s="26"/>
      <c r="B173" s="12" t="str">
        <f>CONCATENATE("          ","6408"," - ","INVENTORY ADJUSTMENT")</f>
        <v xml:space="preserve">          6408 - INVENTORY ADJUSTMENT</v>
      </c>
      <c r="C173" s="12"/>
      <c r="D173" s="8">
        <v>5100</v>
      </c>
      <c r="E173" s="3"/>
      <c r="F173" s="7">
        <f t="shared" si="24"/>
        <v>6.549664319429647E-3</v>
      </c>
      <c r="G173" s="3"/>
      <c r="H173" s="8">
        <v>2100</v>
      </c>
      <c r="I173" s="3"/>
      <c r="J173" s="7">
        <f t="shared" si="25"/>
        <v>1.0352979920395444E-2</v>
      </c>
      <c r="K173" s="3"/>
      <c r="L173" s="8">
        <f t="shared" si="26"/>
        <v>3000</v>
      </c>
      <c r="M173" s="3"/>
      <c r="N173" s="7">
        <f t="shared" si="27"/>
        <v>1.4285714285714286</v>
      </c>
      <c r="O173" s="12"/>
      <c r="P173" s="8">
        <v>44800</v>
      </c>
      <c r="Q173" s="3"/>
      <c r="R173" s="7">
        <f t="shared" si="28"/>
        <v>8.6230949225438568E-3</v>
      </c>
      <c r="S173" s="3"/>
      <c r="T173" s="8">
        <v>21800</v>
      </c>
      <c r="U173" s="3"/>
      <c r="V173" s="7">
        <f t="shared" si="29"/>
        <v>5.3427725059181884E-3</v>
      </c>
      <c r="W173" s="3"/>
      <c r="X173" s="8">
        <f t="shared" si="30"/>
        <v>23000</v>
      </c>
      <c r="Y173" s="3"/>
      <c r="Z173" s="7">
        <f t="shared" si="31"/>
        <v>1.0550458715596329</v>
      </c>
    </row>
    <row r="174" spans="1:26" s="69" customFormat="1" ht="15" hidden="1" customHeight="1" outlineLevel="2" x14ac:dyDescent="0.3">
      <c r="A174" s="26"/>
      <c r="B174" s="12" t="str">
        <f>CONCATENATE("          ","7741"," - ","INV. SHRINKAGE-LOGO GIFTS")</f>
        <v xml:space="preserve">          7741 - INV. SHRINKAGE-LOGO GIFTS</v>
      </c>
      <c r="C174" s="12"/>
      <c r="D174" s="8"/>
      <c r="E174" s="3"/>
      <c r="F174" s="7">
        <f t="shared" si="24"/>
        <v>0</v>
      </c>
      <c r="G174" s="3"/>
      <c r="H174" s="8"/>
      <c r="I174" s="3"/>
      <c r="J174" s="7">
        <f t="shared" si="25"/>
        <v>0</v>
      </c>
      <c r="K174" s="3"/>
      <c r="L174" s="8">
        <f t="shared" si="26"/>
        <v>0</v>
      </c>
      <c r="M174" s="3"/>
      <c r="N174" s="7">
        <f t="shared" si="27"/>
        <v>0</v>
      </c>
      <c r="O174" s="12"/>
      <c r="P174" s="8"/>
      <c r="Q174" s="3"/>
      <c r="R174" s="7">
        <f t="shared" si="28"/>
        <v>0</v>
      </c>
      <c r="S174" s="3"/>
      <c r="T174" s="8">
        <v>0</v>
      </c>
      <c r="U174" s="3"/>
      <c r="V174" s="7">
        <f t="shared" si="29"/>
        <v>0</v>
      </c>
      <c r="W174" s="3"/>
      <c r="X174" s="8">
        <f t="shared" si="30"/>
        <v>0</v>
      </c>
      <c r="Y174" s="3"/>
      <c r="Z174" s="7">
        <f t="shared" si="31"/>
        <v>0</v>
      </c>
    </row>
    <row r="175" spans="1:26" s="68" customFormat="1" ht="15" customHeight="1" outlineLevel="1" collapsed="1" x14ac:dyDescent="0.3">
      <c r="A175" s="25"/>
      <c r="B175" s="14" t="str">
        <f>CONCATENATE("     ","Professional Services                             ")</f>
        <v xml:space="preserve">     Professional Services                             </v>
      </c>
      <c r="C175" s="14"/>
      <c r="D175" s="2">
        <f>SUM(OSRRefD22_14x_0)</f>
        <v>390</v>
      </c>
      <c r="E175" s="2"/>
      <c r="F175" s="6">
        <f t="shared" si="24"/>
        <v>5.0085668325050244E-4</v>
      </c>
      <c r="G175" s="2"/>
      <c r="H175" s="2">
        <f>SUM(OSRRefH22_14x_0)</f>
        <v>0</v>
      </c>
      <c r="I175" s="2"/>
      <c r="J175" s="6">
        <f t="shared" si="25"/>
        <v>0</v>
      </c>
      <c r="K175" s="2"/>
      <c r="L175" s="2">
        <f t="shared" si="26"/>
        <v>390</v>
      </c>
      <c r="M175" s="2"/>
      <c r="N175" s="6">
        <f t="shared" si="27"/>
        <v>0</v>
      </c>
      <c r="O175" s="14"/>
      <c r="P175" s="2">
        <f>SUM(OSRRefP22_14x_0)</f>
        <v>8576.5300000000007</v>
      </c>
      <c r="Q175" s="2"/>
      <c r="R175" s="6">
        <f t="shared" si="28"/>
        <v>1.6508087566081491E-3</v>
      </c>
      <c r="S175" s="2"/>
      <c r="T175" s="2">
        <f>SUM(OSRRefT22_14x_0)</f>
        <v>0</v>
      </c>
      <c r="U175" s="2"/>
      <c r="V175" s="6">
        <f t="shared" si="29"/>
        <v>0</v>
      </c>
      <c r="W175" s="2"/>
      <c r="X175" s="2">
        <f t="shared" si="30"/>
        <v>8576.5300000000007</v>
      </c>
      <c r="Y175" s="2"/>
      <c r="Z175" s="6">
        <f t="shared" si="31"/>
        <v>0</v>
      </c>
    </row>
    <row r="176" spans="1:26" s="69" customFormat="1" ht="15" hidden="1" customHeight="1" outlineLevel="2" x14ac:dyDescent="0.3">
      <c r="A176" s="26"/>
      <c r="B176" s="12" t="str">
        <f>CONCATENATE("          ","6336"," - ","PROFESSIONAL SERVICES")</f>
        <v xml:space="preserve">          6336 - PROFESSIONAL SERVICES</v>
      </c>
      <c r="C176" s="12"/>
      <c r="D176" s="8">
        <v>390</v>
      </c>
      <c r="E176" s="3"/>
      <c r="F176" s="7">
        <f t="shared" si="24"/>
        <v>5.0085668325050244E-4</v>
      </c>
      <c r="G176" s="3"/>
      <c r="H176" s="8"/>
      <c r="I176" s="3"/>
      <c r="J176" s="7">
        <f t="shared" si="25"/>
        <v>0</v>
      </c>
      <c r="K176" s="3"/>
      <c r="L176" s="8">
        <f t="shared" si="26"/>
        <v>390</v>
      </c>
      <c r="M176" s="3"/>
      <c r="N176" s="7">
        <f t="shared" si="27"/>
        <v>0</v>
      </c>
      <c r="O176" s="12"/>
      <c r="P176" s="8">
        <v>8576.5300000000007</v>
      </c>
      <c r="Q176" s="3"/>
      <c r="R176" s="7">
        <f t="shared" si="28"/>
        <v>1.6508087566081491E-3</v>
      </c>
      <c r="S176" s="3"/>
      <c r="T176" s="8"/>
      <c r="U176" s="3"/>
      <c r="V176" s="7">
        <f t="shared" si="29"/>
        <v>0</v>
      </c>
      <c r="W176" s="3"/>
      <c r="X176" s="8">
        <f t="shared" si="30"/>
        <v>8576.5300000000007</v>
      </c>
      <c r="Y176" s="3"/>
      <c r="Z176" s="7">
        <f t="shared" si="31"/>
        <v>0</v>
      </c>
    </row>
    <row r="177" spans="1:26" s="68" customFormat="1" ht="15" customHeight="1" outlineLevel="1" collapsed="1" x14ac:dyDescent="0.3">
      <c r="A177" s="25"/>
      <c r="B177" s="14" t="str">
        <f>CONCATENATE("     ","Rent                                              ")</f>
        <v xml:space="preserve">     Rent                                              </v>
      </c>
      <c r="C177" s="14"/>
      <c r="D177" s="2">
        <f>SUM(OSRRefD22_15x_0)</f>
        <v>6100</v>
      </c>
      <c r="E177" s="2"/>
      <c r="F177" s="6">
        <f t="shared" si="24"/>
        <v>7.833912225200166E-3</v>
      </c>
      <c r="G177" s="2"/>
      <c r="H177" s="2">
        <f>SUM(OSRRefH22_15x_0)</f>
        <v>6100</v>
      </c>
      <c r="I177" s="2"/>
      <c r="J177" s="6">
        <f t="shared" si="25"/>
        <v>3.007294167352962E-2</v>
      </c>
      <c r="K177" s="2"/>
      <c r="L177" s="2">
        <f t="shared" si="26"/>
        <v>0</v>
      </c>
      <c r="M177" s="2"/>
      <c r="N177" s="6">
        <f t="shared" si="27"/>
        <v>0</v>
      </c>
      <c r="O177" s="14"/>
      <c r="P177" s="2">
        <f>SUM(OSRRefP22_15x_0)</f>
        <v>48800</v>
      </c>
      <c r="Q177" s="2"/>
      <c r="R177" s="6">
        <f t="shared" si="28"/>
        <v>9.3930141120567023E-3</v>
      </c>
      <c r="S177" s="2"/>
      <c r="T177" s="2">
        <f>SUM(OSRRefT22_15x_0)</f>
        <v>48800</v>
      </c>
      <c r="U177" s="2"/>
      <c r="V177" s="6">
        <f t="shared" si="29"/>
        <v>1.1959967811413192E-2</v>
      </c>
      <c r="W177" s="2"/>
      <c r="X177" s="2">
        <f t="shared" si="30"/>
        <v>0</v>
      </c>
      <c r="Y177" s="2"/>
      <c r="Z177" s="6">
        <f t="shared" si="31"/>
        <v>0</v>
      </c>
    </row>
    <row r="178" spans="1:26" s="69" customFormat="1" ht="15" hidden="1" customHeight="1" outlineLevel="2" x14ac:dyDescent="0.3">
      <c r="A178" s="26"/>
      <c r="B178" s="12" t="str">
        <f>CONCATENATE("          ","6273"," - ","RENT")</f>
        <v xml:space="preserve">          6273 - RENT</v>
      </c>
      <c r="C178" s="12"/>
      <c r="D178" s="8">
        <v>6100</v>
      </c>
      <c r="E178" s="3"/>
      <c r="F178" s="7">
        <f t="shared" si="24"/>
        <v>7.833912225200166E-3</v>
      </c>
      <c r="G178" s="3"/>
      <c r="H178" s="8">
        <v>6100</v>
      </c>
      <c r="I178" s="3"/>
      <c r="J178" s="7">
        <f t="shared" si="25"/>
        <v>3.007294167352962E-2</v>
      </c>
      <c r="K178" s="3"/>
      <c r="L178" s="8">
        <f t="shared" si="26"/>
        <v>0</v>
      </c>
      <c r="M178" s="3"/>
      <c r="N178" s="7">
        <f t="shared" si="27"/>
        <v>0</v>
      </c>
      <c r="O178" s="12"/>
      <c r="P178" s="8">
        <v>48800</v>
      </c>
      <c r="Q178" s="3"/>
      <c r="R178" s="7">
        <f t="shared" si="28"/>
        <v>9.3930141120567023E-3</v>
      </c>
      <c r="S178" s="3"/>
      <c r="T178" s="8">
        <v>48800</v>
      </c>
      <c r="U178" s="3"/>
      <c r="V178" s="7">
        <f t="shared" si="29"/>
        <v>1.1959967811413192E-2</v>
      </c>
      <c r="W178" s="3"/>
      <c r="X178" s="8">
        <f t="shared" si="30"/>
        <v>0</v>
      </c>
      <c r="Y178" s="3"/>
      <c r="Z178" s="7">
        <f t="shared" si="31"/>
        <v>0</v>
      </c>
    </row>
    <row r="179" spans="1:26" s="68" customFormat="1" ht="15" customHeight="1" outlineLevel="1" collapsed="1" x14ac:dyDescent="0.3">
      <c r="A179" s="25"/>
      <c r="B179" s="14" t="str">
        <f>CONCATENATE("     ","Repair and Maintenance                            ")</f>
        <v xml:space="preserve">     Repair and Maintenance                            </v>
      </c>
      <c r="C179" s="14"/>
      <c r="D179" s="2">
        <f>SUM(OSRRefD22_16x_0)</f>
        <v>6007.6299999999992</v>
      </c>
      <c r="E179" s="2"/>
      <c r="F179" s="6">
        <f t="shared" si="24"/>
        <v>7.7152862461441424E-3</v>
      </c>
      <c r="G179" s="2"/>
      <c r="H179" s="2">
        <f>SUM(OSRRefH22_16x_0)</f>
        <v>16129.08</v>
      </c>
      <c r="I179" s="2"/>
      <c r="J179" s="6">
        <f t="shared" si="25"/>
        <v>7.9516210178310356E-2</v>
      </c>
      <c r="K179" s="2"/>
      <c r="L179" s="2">
        <f t="shared" si="26"/>
        <v>-10121.450000000001</v>
      </c>
      <c r="M179" s="2"/>
      <c r="N179" s="6">
        <f t="shared" si="27"/>
        <v>-0.62752804251699423</v>
      </c>
      <c r="O179" s="14"/>
      <c r="P179" s="2">
        <f>SUM(OSRRefP22_16x_0)</f>
        <v>115438</v>
      </c>
      <c r="Q179" s="2"/>
      <c r="R179" s="6">
        <f t="shared" si="28"/>
        <v>2.2219482849745932E-2</v>
      </c>
      <c r="S179" s="2"/>
      <c r="T179" s="2">
        <f>SUM(OSRRefT22_16x_0)</f>
        <v>128956.4</v>
      </c>
      <c r="U179" s="2"/>
      <c r="V179" s="6">
        <f t="shared" si="29"/>
        <v>3.1604803136797623E-2</v>
      </c>
      <c r="W179" s="2"/>
      <c r="X179" s="2">
        <f t="shared" si="30"/>
        <v>-13518.399999999994</v>
      </c>
      <c r="Y179" s="2"/>
      <c r="Z179" s="6">
        <f t="shared" si="31"/>
        <v>-0.10482922910379008</v>
      </c>
    </row>
    <row r="180" spans="1:26" s="69" customFormat="1" ht="15" hidden="1" customHeight="1" outlineLevel="2" x14ac:dyDescent="0.3">
      <c r="A180" s="26"/>
      <c r="B180" s="12" t="str">
        <f>CONCATENATE("          ","6371"," - ","COMPUTER SOFTWARE MAINTENANCE")</f>
        <v xml:space="preserve">          6371 - COMPUTER SOFTWARE MAINTENANCE</v>
      </c>
      <c r="C180" s="12"/>
      <c r="D180" s="8"/>
      <c r="E180" s="3"/>
      <c r="F180" s="7">
        <f t="shared" si="24"/>
        <v>0</v>
      </c>
      <c r="G180" s="3"/>
      <c r="H180" s="8">
        <v>1331.25</v>
      </c>
      <c r="I180" s="3"/>
      <c r="J180" s="7">
        <f t="shared" si="25"/>
        <v>6.5630497709649686E-3</v>
      </c>
      <c r="K180" s="3"/>
      <c r="L180" s="8">
        <f t="shared" si="26"/>
        <v>-1331.25</v>
      </c>
      <c r="M180" s="3"/>
      <c r="N180" s="7">
        <f t="shared" si="27"/>
        <v>-1</v>
      </c>
      <c r="O180" s="12"/>
      <c r="P180" s="8">
        <v>62511</v>
      </c>
      <c r="Q180" s="3"/>
      <c r="R180" s="7">
        <f t="shared" si="28"/>
        <v>1.2032104613909354E-2</v>
      </c>
      <c r="S180" s="3"/>
      <c r="T180" s="8">
        <v>59767.72</v>
      </c>
      <c r="U180" s="3"/>
      <c r="V180" s="7">
        <f t="shared" si="29"/>
        <v>1.4647950970523699E-2</v>
      </c>
      <c r="W180" s="3"/>
      <c r="X180" s="8">
        <f t="shared" si="30"/>
        <v>2743.2799999999988</v>
      </c>
      <c r="Y180" s="3"/>
      <c r="Z180" s="7">
        <f t="shared" si="31"/>
        <v>4.5899023753959475E-2</v>
      </c>
    </row>
    <row r="181" spans="1:26" s="69" customFormat="1" ht="15" hidden="1" customHeight="1" outlineLevel="2" x14ac:dyDescent="0.3">
      <c r="A181" s="26"/>
      <c r="B181" s="12" t="str">
        <f>CONCATENATE("          ","6372"," - ","COMPUTER HARDWARE MAINTENANCE")</f>
        <v xml:space="preserve">          6372 - COMPUTER HARDWARE MAINTENANCE</v>
      </c>
      <c r="C181" s="12"/>
      <c r="D181" s="8"/>
      <c r="E181" s="3"/>
      <c r="F181" s="7">
        <f t="shared" si="24"/>
        <v>0</v>
      </c>
      <c r="G181" s="3"/>
      <c r="H181" s="8">
        <v>-1.1499999999999999</v>
      </c>
      <c r="I181" s="3"/>
      <c r="J181" s="7">
        <f t="shared" si="25"/>
        <v>-5.6694890040260759E-6</v>
      </c>
      <c r="K181" s="3"/>
      <c r="L181" s="8">
        <f t="shared" si="26"/>
        <v>1.1499999999999999</v>
      </c>
      <c r="M181" s="3"/>
      <c r="N181" s="7">
        <f t="shared" si="27"/>
        <v>-1</v>
      </c>
      <c r="O181" s="12"/>
      <c r="P181" s="8"/>
      <c r="Q181" s="3"/>
      <c r="R181" s="7">
        <f t="shared" si="28"/>
        <v>0</v>
      </c>
      <c r="S181" s="3"/>
      <c r="T181" s="8">
        <v>-1.1499999999999999</v>
      </c>
      <c r="U181" s="3"/>
      <c r="V181" s="7">
        <f t="shared" si="29"/>
        <v>-2.8184350375256494E-7</v>
      </c>
      <c r="W181" s="3"/>
      <c r="X181" s="8">
        <f t="shared" si="30"/>
        <v>1.1499999999999999</v>
      </c>
      <c r="Y181" s="3"/>
      <c r="Z181" s="7">
        <f t="shared" si="31"/>
        <v>-1</v>
      </c>
    </row>
    <row r="182" spans="1:26" s="69" customFormat="1" ht="15" hidden="1" customHeight="1" outlineLevel="2" x14ac:dyDescent="0.3">
      <c r="A182" s="26"/>
      <c r="B182" s="12" t="str">
        <f>CONCATENATE("          ","6373"," - ","MAINTENANCE CONTRACTS")</f>
        <v xml:space="preserve">          6373 - MAINTENANCE CONTRACTS</v>
      </c>
      <c r="C182" s="12"/>
      <c r="D182" s="8">
        <v>1904.31</v>
      </c>
      <c r="E182" s="3"/>
      <c r="F182" s="7">
        <f t="shared" si="24"/>
        <v>2.445606129437857E-3</v>
      </c>
      <c r="G182" s="3"/>
      <c r="H182" s="8">
        <v>3372.5</v>
      </c>
      <c r="I182" s="3"/>
      <c r="J182" s="7">
        <f t="shared" si="25"/>
        <v>1.6626392753111254E-2</v>
      </c>
      <c r="K182" s="3"/>
      <c r="L182" s="8">
        <f t="shared" si="26"/>
        <v>-1468.19</v>
      </c>
      <c r="M182" s="3"/>
      <c r="N182" s="7">
        <f t="shared" si="27"/>
        <v>-0.43534173461823572</v>
      </c>
      <c r="O182" s="12"/>
      <c r="P182" s="8">
        <v>17899.5</v>
      </c>
      <c r="Q182" s="3"/>
      <c r="R182" s="7">
        <f t="shared" si="28"/>
        <v>3.4452921331712895E-3</v>
      </c>
      <c r="S182" s="3"/>
      <c r="T182" s="8">
        <v>43426.68</v>
      </c>
      <c r="U182" s="3"/>
      <c r="V182" s="7">
        <f t="shared" si="29"/>
        <v>1.0643067519601252E-2</v>
      </c>
      <c r="W182" s="3"/>
      <c r="X182" s="8">
        <f t="shared" si="30"/>
        <v>-25527.18</v>
      </c>
      <c r="Y182" s="3"/>
      <c r="Z182" s="7">
        <f t="shared" si="31"/>
        <v>-0.58782250911191003</v>
      </c>
    </row>
    <row r="183" spans="1:26" s="69" customFormat="1" ht="15" hidden="1" customHeight="1" outlineLevel="2" x14ac:dyDescent="0.3">
      <c r="A183" s="26"/>
      <c r="B183" s="12" t="str">
        <f>CONCATENATE("          ","6375"," - ","OUTSIDE REPAIRS &amp; MAINTENANCE")</f>
        <v xml:space="preserve">          6375 - OUTSIDE REPAIRS &amp; MAINTENANCE</v>
      </c>
      <c r="C183" s="12"/>
      <c r="D183" s="8">
        <v>4103.32</v>
      </c>
      <c r="E183" s="3"/>
      <c r="F183" s="7">
        <f t="shared" si="24"/>
        <v>5.2696801167062858E-3</v>
      </c>
      <c r="G183" s="3"/>
      <c r="H183" s="8">
        <v>11426.48</v>
      </c>
      <c r="I183" s="3"/>
      <c r="J183" s="7">
        <f t="shared" si="25"/>
        <v>5.633243714323815E-2</v>
      </c>
      <c r="K183" s="3"/>
      <c r="L183" s="8">
        <f t="shared" si="26"/>
        <v>-7323.16</v>
      </c>
      <c r="M183" s="3"/>
      <c r="N183" s="7">
        <f t="shared" si="27"/>
        <v>-0.64089378356239191</v>
      </c>
      <c r="O183" s="12"/>
      <c r="P183" s="8">
        <v>35027.5</v>
      </c>
      <c r="Q183" s="3"/>
      <c r="R183" s="7">
        <f t="shared" si="28"/>
        <v>6.7420861026652899E-3</v>
      </c>
      <c r="S183" s="3"/>
      <c r="T183" s="8">
        <v>25763.15</v>
      </c>
      <c r="U183" s="3"/>
      <c r="V183" s="7">
        <f t="shared" si="29"/>
        <v>6.3140664901764308E-3</v>
      </c>
      <c r="W183" s="3"/>
      <c r="X183" s="8">
        <f t="shared" si="30"/>
        <v>9264.3499999999985</v>
      </c>
      <c r="Y183" s="3"/>
      <c r="Z183" s="7">
        <f t="shared" si="31"/>
        <v>0.35959694369671402</v>
      </c>
    </row>
    <row r="184" spans="1:26" s="68" customFormat="1" ht="15" customHeight="1" outlineLevel="1" collapsed="1" x14ac:dyDescent="0.3">
      <c r="A184" s="25"/>
      <c r="B184" s="14" t="str">
        <f>CONCATENATE("     ","Royalty &amp; Commissions                             ")</f>
        <v xml:space="preserve">     Royalty &amp; Commissions                             </v>
      </c>
      <c r="C184" s="14"/>
      <c r="D184" s="2">
        <f>SUM(OSRRefD22_17x_0)</f>
        <v>4782.3600000000006</v>
      </c>
      <c r="E184" s="2"/>
      <c r="F184" s="6">
        <f t="shared" si="24"/>
        <v>6.1417358146407001E-3</v>
      </c>
      <c r="G184" s="2"/>
      <c r="H184" s="2">
        <f>SUM(OSRRefH22_17x_0)</f>
        <v>468.34</v>
      </c>
      <c r="I184" s="2"/>
      <c r="J184" s="6">
        <f t="shared" si="25"/>
        <v>2.3089117218657151E-3</v>
      </c>
      <c r="K184" s="2"/>
      <c r="L184" s="2">
        <f t="shared" si="26"/>
        <v>4314.0200000000004</v>
      </c>
      <c r="M184" s="2"/>
      <c r="N184" s="6">
        <f t="shared" si="27"/>
        <v>9.2112994832813779</v>
      </c>
      <c r="O184" s="14"/>
      <c r="P184" s="2">
        <f>SUM(OSRRefP22_17x_0)</f>
        <v>50233.790000000008</v>
      </c>
      <c r="Q184" s="2"/>
      <c r="R184" s="6">
        <f t="shared" si="28"/>
        <v>9.6689897207396097E-3</v>
      </c>
      <c r="S184" s="2"/>
      <c r="T184" s="2">
        <f>SUM(OSRRefT22_17x_0)</f>
        <v>36833.990000000005</v>
      </c>
      <c r="U184" s="2"/>
      <c r="V184" s="6">
        <f t="shared" si="29"/>
        <v>9.0273224337277767E-3</v>
      </c>
      <c r="W184" s="2"/>
      <c r="X184" s="2">
        <f t="shared" si="30"/>
        <v>13399.800000000003</v>
      </c>
      <c r="Y184" s="2"/>
      <c r="Z184" s="6">
        <f t="shared" si="31"/>
        <v>0.36378898946326482</v>
      </c>
    </row>
    <row r="185" spans="1:26" s="69" customFormat="1" ht="15" hidden="1" customHeight="1" outlineLevel="2" x14ac:dyDescent="0.3">
      <c r="A185" s="26"/>
      <c r="B185" s="12" t="str">
        <f>CONCATENATE("          ","6253"," - ","ROYALTY DUE ATHLETICS-LRG")</f>
        <v xml:space="preserve">          6253 - ROYALTY DUE ATHLETICS-LRG</v>
      </c>
      <c r="C185" s="12"/>
      <c r="D185" s="8"/>
      <c r="E185" s="3"/>
      <c r="F185" s="7">
        <f t="shared" si="24"/>
        <v>0</v>
      </c>
      <c r="G185" s="3"/>
      <c r="H185" s="8"/>
      <c r="I185" s="3"/>
      <c r="J185" s="7">
        <f t="shared" si="25"/>
        <v>0</v>
      </c>
      <c r="K185" s="3"/>
      <c r="L185" s="8">
        <f t="shared" si="26"/>
        <v>0</v>
      </c>
      <c r="M185" s="3"/>
      <c r="N185" s="7">
        <f t="shared" si="27"/>
        <v>0</v>
      </c>
      <c r="O185" s="12"/>
      <c r="P185" s="8">
        <v>39221.160000000003</v>
      </c>
      <c r="Q185" s="3"/>
      <c r="R185" s="7">
        <f t="shared" si="28"/>
        <v>7.5492809297383993E-3</v>
      </c>
      <c r="S185" s="3"/>
      <c r="T185" s="8">
        <v>26197.58</v>
      </c>
      <c r="U185" s="3"/>
      <c r="V185" s="7">
        <f t="shared" si="29"/>
        <v>6.4205371626418449E-3</v>
      </c>
      <c r="W185" s="3"/>
      <c r="X185" s="8">
        <f t="shared" si="30"/>
        <v>13023.580000000002</v>
      </c>
      <c r="Y185" s="3"/>
      <c r="Z185" s="7">
        <f t="shared" si="31"/>
        <v>0.49712912414047405</v>
      </c>
    </row>
    <row r="186" spans="1:26" s="69" customFormat="1" ht="15" hidden="1" customHeight="1" outlineLevel="2" x14ac:dyDescent="0.3">
      <c r="A186" s="26"/>
      <c r="B186" s="12" t="str">
        <f>CONCATENATE("          ","6254"," - ","ROYALTY &amp; COMMISSIONS")</f>
        <v xml:space="preserve">          6254 - ROYALTY &amp; COMMISSIONS</v>
      </c>
      <c r="C186" s="12"/>
      <c r="D186" s="8">
        <v>3147.46</v>
      </c>
      <c r="E186" s="3"/>
      <c r="F186" s="7">
        <f t="shared" si="24"/>
        <v>4.042118913496478E-3</v>
      </c>
      <c r="G186" s="3"/>
      <c r="H186" s="8"/>
      <c r="I186" s="3"/>
      <c r="J186" s="7">
        <f t="shared" si="25"/>
        <v>0</v>
      </c>
      <c r="K186" s="3"/>
      <c r="L186" s="8">
        <f t="shared" si="26"/>
        <v>3147.46</v>
      </c>
      <c r="M186" s="3"/>
      <c r="N186" s="7">
        <f t="shared" si="27"/>
        <v>0</v>
      </c>
      <c r="O186" s="12"/>
      <c r="P186" s="8">
        <v>3509.15</v>
      </c>
      <c r="Q186" s="3"/>
      <c r="R186" s="7">
        <f t="shared" si="28"/>
        <v>6.7544048096974951E-4</v>
      </c>
      <c r="S186" s="3"/>
      <c r="T186" s="8"/>
      <c r="U186" s="3"/>
      <c r="V186" s="7">
        <f t="shared" si="29"/>
        <v>0</v>
      </c>
      <c r="W186" s="3"/>
      <c r="X186" s="8">
        <f t="shared" si="30"/>
        <v>3509.15</v>
      </c>
      <c r="Y186" s="3"/>
      <c r="Z186" s="7">
        <f t="shared" si="31"/>
        <v>0</v>
      </c>
    </row>
    <row r="187" spans="1:26" s="69" customFormat="1" ht="15" hidden="1" customHeight="1" outlineLevel="2" x14ac:dyDescent="0.3">
      <c r="A187" s="26"/>
      <c r="B187" s="12" t="str">
        <f>CONCATENATE("          ","6259"," - ","ROYALTY &amp; COMMISSIONS")</f>
        <v xml:space="preserve">          6259 - ROYALTY &amp; COMMISSIONS</v>
      </c>
      <c r="C187" s="12"/>
      <c r="D187" s="8">
        <v>1634.9</v>
      </c>
      <c r="E187" s="3"/>
      <c r="F187" s="7">
        <f t="shared" si="24"/>
        <v>2.0996169011442216E-3</v>
      </c>
      <c r="G187" s="3"/>
      <c r="H187" s="8">
        <v>468.34</v>
      </c>
      <c r="I187" s="3"/>
      <c r="J187" s="7">
        <f t="shared" si="25"/>
        <v>2.3089117218657151E-3</v>
      </c>
      <c r="K187" s="3"/>
      <c r="L187" s="8">
        <f t="shared" si="26"/>
        <v>1166.5600000000002</v>
      </c>
      <c r="M187" s="3"/>
      <c r="N187" s="7">
        <f t="shared" si="27"/>
        <v>2.4908399880428753</v>
      </c>
      <c r="O187" s="12"/>
      <c r="P187" s="8">
        <v>7503.48</v>
      </c>
      <c r="Q187" s="3"/>
      <c r="R187" s="7">
        <f t="shared" si="28"/>
        <v>1.4442683100314593E-3</v>
      </c>
      <c r="S187" s="3"/>
      <c r="T187" s="8">
        <v>10636.41</v>
      </c>
      <c r="U187" s="3"/>
      <c r="V187" s="7">
        <f t="shared" si="29"/>
        <v>2.6067852710859301E-3</v>
      </c>
      <c r="W187" s="3"/>
      <c r="X187" s="8">
        <f t="shared" si="30"/>
        <v>-3132.9300000000003</v>
      </c>
      <c r="Y187" s="3"/>
      <c r="Z187" s="7">
        <f t="shared" si="31"/>
        <v>-0.29454769043314427</v>
      </c>
    </row>
    <row r="188" spans="1:26" s="68" customFormat="1" ht="15" customHeight="1" outlineLevel="1" collapsed="1" x14ac:dyDescent="0.3">
      <c r="A188" s="25"/>
      <c r="B188" s="14" t="str">
        <f>CONCATENATE("     ","Services                                          ")</f>
        <v xml:space="preserve">     Services                                          </v>
      </c>
      <c r="C188" s="14"/>
      <c r="D188" s="2">
        <f>SUM(OSRRefD22_18x_0)</f>
        <v>7009.93</v>
      </c>
      <c r="E188" s="2"/>
      <c r="F188" s="6">
        <f t="shared" si="24"/>
        <v>9.0024879220979345E-3</v>
      </c>
      <c r="G188" s="2"/>
      <c r="H188" s="2">
        <f>SUM(OSRRefH22_18x_0)</f>
        <v>3932.57</v>
      </c>
      <c r="I188" s="2"/>
      <c r="J188" s="6">
        <f t="shared" si="25"/>
        <v>1.9387532497880718E-2</v>
      </c>
      <c r="K188" s="2"/>
      <c r="L188" s="2">
        <f t="shared" si="26"/>
        <v>3077.36</v>
      </c>
      <c r="M188" s="2"/>
      <c r="N188" s="6">
        <f t="shared" si="27"/>
        <v>0.78253152518581992</v>
      </c>
      <c r="O188" s="14"/>
      <c r="P188" s="2">
        <f>SUM(OSRRefP22_18x_0)</f>
        <v>47254.229999999996</v>
      </c>
      <c r="Q188" s="2"/>
      <c r="R188" s="6">
        <f t="shared" si="28"/>
        <v>9.095484615663384E-3</v>
      </c>
      <c r="S188" s="2"/>
      <c r="T188" s="2">
        <f>SUM(OSRRefT22_18x_0)</f>
        <v>28661.89</v>
      </c>
      <c r="U188" s="2"/>
      <c r="V188" s="6">
        <f t="shared" si="29"/>
        <v>7.0244934798005254E-3</v>
      </c>
      <c r="W188" s="2"/>
      <c r="X188" s="2">
        <f t="shared" si="30"/>
        <v>18592.339999999997</v>
      </c>
      <c r="Y188" s="2"/>
      <c r="Z188" s="6">
        <f t="shared" si="31"/>
        <v>0.6486780878720837</v>
      </c>
    </row>
    <row r="189" spans="1:26" s="69" customFormat="1" ht="15" hidden="1" customHeight="1" outlineLevel="2" x14ac:dyDescent="0.3">
      <c r="A189" s="26"/>
      <c r="B189" s="12" t="str">
        <f>CONCATENATE("          ","6282"," - ","JANITORIAL/EXTERMINATOR EXPENS")</f>
        <v xml:space="preserve">          6282 - JANITORIAL/EXTERMINATOR EXPENS</v>
      </c>
      <c r="C189" s="12"/>
      <c r="D189" s="8">
        <v>350.3</v>
      </c>
      <c r="E189" s="3"/>
      <c r="F189" s="7">
        <f t="shared" si="24"/>
        <v>4.4987204139141284E-4</v>
      </c>
      <c r="G189" s="3"/>
      <c r="H189" s="8"/>
      <c r="I189" s="3"/>
      <c r="J189" s="7">
        <f t="shared" si="25"/>
        <v>0</v>
      </c>
      <c r="K189" s="3"/>
      <c r="L189" s="8">
        <f t="shared" si="26"/>
        <v>350.3</v>
      </c>
      <c r="M189" s="3"/>
      <c r="N189" s="7">
        <f t="shared" si="27"/>
        <v>0</v>
      </c>
      <c r="O189" s="12"/>
      <c r="P189" s="8">
        <v>2543.98</v>
      </c>
      <c r="Q189" s="3"/>
      <c r="R189" s="7">
        <f t="shared" si="28"/>
        <v>4.8966475493422148E-4</v>
      </c>
      <c r="S189" s="3"/>
      <c r="T189" s="8">
        <v>6953.12</v>
      </c>
      <c r="U189" s="3"/>
      <c r="V189" s="7">
        <f t="shared" si="29"/>
        <v>1.7040797415756822E-3</v>
      </c>
      <c r="W189" s="3"/>
      <c r="X189" s="8">
        <f t="shared" si="30"/>
        <v>-4409.1399999999994</v>
      </c>
      <c r="Y189" s="3"/>
      <c r="Z189" s="7">
        <f t="shared" si="31"/>
        <v>-0.63412396161723072</v>
      </c>
    </row>
    <row r="190" spans="1:26" s="69" customFormat="1" ht="15" hidden="1" customHeight="1" outlineLevel="2" x14ac:dyDescent="0.3">
      <c r="A190" s="26"/>
      <c r="B190" s="12" t="str">
        <f>CONCATENATE("          ","6283"," - ","PLANT SERVICE")</f>
        <v xml:space="preserve">          6283 - PLANT SERVICE</v>
      </c>
      <c r="C190" s="12"/>
      <c r="D190" s="8"/>
      <c r="E190" s="3"/>
      <c r="F190" s="7">
        <f t="shared" ref="F190:F214" si="32">IF(D$12=0,0,D190/D$12)</f>
        <v>0</v>
      </c>
      <c r="G190" s="3"/>
      <c r="H190" s="8"/>
      <c r="I190" s="3"/>
      <c r="J190" s="7">
        <f t="shared" ref="J190:J214" si="33">IF(H$12=0,0,H190/H$12)</f>
        <v>0</v>
      </c>
      <c r="K190" s="3"/>
      <c r="L190" s="8">
        <f t="shared" ref="L190:L214" si="34">+D190-H190</f>
        <v>0</v>
      </c>
      <c r="M190" s="3"/>
      <c r="N190" s="7">
        <f t="shared" ref="N190:N214" si="35">IF(H190=0,0,L190/H190)</f>
        <v>0</v>
      </c>
      <c r="O190" s="12"/>
      <c r="P190" s="8"/>
      <c r="Q190" s="3"/>
      <c r="R190" s="7">
        <f t="shared" ref="R190:R214" si="36">IF(P$12=0,0,P190/P$12)</f>
        <v>0</v>
      </c>
      <c r="S190" s="3"/>
      <c r="T190" s="8">
        <v>171.31</v>
      </c>
      <c r="U190" s="3"/>
      <c r="V190" s="7">
        <f t="shared" ref="V190:V214" si="37">IF(T$12=0,0,T190/T$12)</f>
        <v>4.1984878806827747E-5</v>
      </c>
      <c r="W190" s="3"/>
      <c r="X190" s="8">
        <f t="shared" ref="X190:X214" si="38">+P190-T190</f>
        <v>-171.31</v>
      </c>
      <c r="Y190" s="3"/>
      <c r="Z190" s="7">
        <f t="shared" ref="Z190:Z214" si="39">IF(T190=0,0,X190/T190)</f>
        <v>-1</v>
      </c>
    </row>
    <row r="191" spans="1:26" s="69" customFormat="1" ht="15" hidden="1" customHeight="1" outlineLevel="2" x14ac:dyDescent="0.3">
      <c r="A191" s="26"/>
      <c r="B191" s="12" t="str">
        <f>CONCATENATE("          ","6284"," - ","TRASH REMOVAL EXPENSE")</f>
        <v xml:space="preserve">          6284 - TRASH REMOVAL EXPENSE</v>
      </c>
      <c r="C191" s="12"/>
      <c r="D191" s="8">
        <v>149.69999999999999</v>
      </c>
      <c r="E191" s="3"/>
      <c r="F191" s="7">
        <f t="shared" si="32"/>
        <v>1.9225191149384668E-4</v>
      </c>
      <c r="G191" s="3"/>
      <c r="H191" s="8">
        <v>142.57</v>
      </c>
      <c r="I191" s="3"/>
      <c r="J191" s="7">
        <f t="shared" si="33"/>
        <v>7.0286873678608488E-4</v>
      </c>
      <c r="K191" s="3"/>
      <c r="L191" s="8">
        <f t="shared" si="34"/>
        <v>7.1299999999999955</v>
      </c>
      <c r="M191" s="3"/>
      <c r="N191" s="7">
        <f t="shared" si="35"/>
        <v>5.0010521147506461E-2</v>
      </c>
      <c r="O191" s="12"/>
      <c r="P191" s="8">
        <v>1190.47</v>
      </c>
      <c r="Q191" s="3"/>
      <c r="R191" s="7">
        <f t="shared" si="36"/>
        <v>2.2914142438483899E-4</v>
      </c>
      <c r="S191" s="3"/>
      <c r="T191" s="8">
        <v>1155.58</v>
      </c>
      <c r="U191" s="3"/>
      <c r="V191" s="7">
        <f t="shared" si="37"/>
        <v>2.8321105744903393E-4</v>
      </c>
      <c r="W191" s="3"/>
      <c r="X191" s="8">
        <f t="shared" si="38"/>
        <v>34.8900000000001</v>
      </c>
      <c r="Y191" s="3"/>
      <c r="Z191" s="7">
        <f t="shared" si="39"/>
        <v>3.0192630540507887E-2</v>
      </c>
    </row>
    <row r="192" spans="1:26" s="69" customFormat="1" ht="15" hidden="1" customHeight="1" outlineLevel="2" x14ac:dyDescent="0.3">
      <c r="A192" s="26"/>
      <c r="B192" s="12" t="str">
        <f>CONCATENATE("          ","6285"," - ","JANITORIAL SERVICES")</f>
        <v xml:space="preserve">          6285 - JANITORIAL SERVICES</v>
      </c>
      <c r="C192" s="12"/>
      <c r="D192" s="8">
        <v>6509.93</v>
      </c>
      <c r="E192" s="3"/>
      <c r="F192" s="7">
        <f t="shared" si="32"/>
        <v>8.3603639692126745E-3</v>
      </c>
      <c r="G192" s="3"/>
      <c r="H192" s="8">
        <v>3790</v>
      </c>
      <c r="I192" s="3"/>
      <c r="J192" s="7">
        <f t="shared" si="33"/>
        <v>1.8684663761094632E-2</v>
      </c>
      <c r="K192" s="3"/>
      <c r="L192" s="8">
        <f t="shared" si="34"/>
        <v>2719.9300000000003</v>
      </c>
      <c r="M192" s="3"/>
      <c r="N192" s="7">
        <f t="shared" si="35"/>
        <v>0.71765963060686022</v>
      </c>
      <c r="O192" s="12"/>
      <c r="P192" s="8">
        <v>43519.78</v>
      </c>
      <c r="Q192" s="3"/>
      <c r="R192" s="7">
        <f t="shared" si="36"/>
        <v>8.3766784363443238E-3</v>
      </c>
      <c r="S192" s="3"/>
      <c r="T192" s="8">
        <v>20381.88</v>
      </c>
      <c r="U192" s="3"/>
      <c r="V192" s="7">
        <f t="shared" si="37"/>
        <v>4.9952178019689823E-3</v>
      </c>
      <c r="W192" s="3"/>
      <c r="X192" s="8">
        <f t="shared" si="38"/>
        <v>23137.899999999998</v>
      </c>
      <c r="Y192" s="3"/>
      <c r="Z192" s="7">
        <f t="shared" si="39"/>
        <v>1.1352191260080031</v>
      </c>
    </row>
    <row r="193" spans="1:26" s="68" customFormat="1" ht="15" customHeight="1" outlineLevel="1" collapsed="1" x14ac:dyDescent="0.3">
      <c r="A193" s="25"/>
      <c r="B193" s="14" t="str">
        <f>CONCATENATE("     ","Subscriptions &amp; Dues                              ")</f>
        <v xml:space="preserve">     Subscriptions &amp; Dues                              </v>
      </c>
      <c r="C193" s="14"/>
      <c r="D193" s="2">
        <f>SUM(OSRRefD22_19x_0)</f>
        <v>176.99</v>
      </c>
      <c r="E193" s="2"/>
      <c r="F193" s="6">
        <f t="shared" si="32"/>
        <v>2.2729903684232417E-4</v>
      </c>
      <c r="G193" s="2"/>
      <c r="H193" s="2">
        <f>SUM(OSRRefH22_19x_0)</f>
        <v>181.41</v>
      </c>
      <c r="I193" s="2"/>
      <c r="J193" s="6">
        <f t="shared" si="33"/>
        <v>8.9434956540901779E-4</v>
      </c>
      <c r="K193" s="2"/>
      <c r="L193" s="2">
        <f t="shared" si="34"/>
        <v>-4.4199999999999875</v>
      </c>
      <c r="M193" s="2"/>
      <c r="N193" s="6">
        <f t="shared" si="35"/>
        <v>-2.4364698748690742E-2</v>
      </c>
      <c r="O193" s="14"/>
      <c r="P193" s="2">
        <f>SUM(OSRRefP22_19x_0)</f>
        <v>1870.72</v>
      </c>
      <c r="Q193" s="2"/>
      <c r="R193" s="6">
        <f t="shared" si="36"/>
        <v>3.600758065513671E-4</v>
      </c>
      <c r="S193" s="2"/>
      <c r="T193" s="2">
        <f>SUM(OSRRefT22_19x_0)</f>
        <v>4026.54</v>
      </c>
      <c r="U193" s="2"/>
      <c r="V193" s="6">
        <f t="shared" si="37"/>
        <v>9.8682968834769833E-4</v>
      </c>
      <c r="W193" s="2"/>
      <c r="X193" s="2">
        <f t="shared" si="38"/>
        <v>-2155.8199999999997</v>
      </c>
      <c r="Y193" s="2"/>
      <c r="Z193" s="6">
        <f t="shared" si="39"/>
        <v>-0.53540260372428927</v>
      </c>
    </row>
    <row r="194" spans="1:26" s="69" customFormat="1" ht="15" hidden="1" customHeight="1" outlineLevel="2" x14ac:dyDescent="0.3">
      <c r="A194" s="26"/>
      <c r="B194" s="12" t="str">
        <f>CONCATENATE("          ","6258"," - ","MEMBERSHIP DUES")</f>
        <v xml:space="preserve">          6258 - MEMBERSHIP DUES</v>
      </c>
      <c r="C194" s="12"/>
      <c r="D194" s="8">
        <v>176.99</v>
      </c>
      <c r="E194" s="3"/>
      <c r="F194" s="7">
        <f t="shared" si="32"/>
        <v>2.2729903684232417E-4</v>
      </c>
      <c r="G194" s="3"/>
      <c r="H194" s="8">
        <v>181.41</v>
      </c>
      <c r="I194" s="3"/>
      <c r="J194" s="7">
        <f t="shared" si="33"/>
        <v>8.9434956540901779E-4</v>
      </c>
      <c r="K194" s="3"/>
      <c r="L194" s="8">
        <f t="shared" si="34"/>
        <v>-4.4199999999999875</v>
      </c>
      <c r="M194" s="3"/>
      <c r="N194" s="7">
        <f t="shared" si="35"/>
        <v>-2.4364698748690742E-2</v>
      </c>
      <c r="O194" s="12"/>
      <c r="P194" s="8">
        <v>1870.72</v>
      </c>
      <c r="Q194" s="3"/>
      <c r="R194" s="7">
        <f t="shared" si="36"/>
        <v>3.600758065513671E-4</v>
      </c>
      <c r="S194" s="3"/>
      <c r="T194" s="8">
        <v>1873.73</v>
      </c>
      <c r="U194" s="3"/>
      <c r="V194" s="7">
        <f t="shared" si="37"/>
        <v>4.5921619850982054E-4</v>
      </c>
      <c r="W194" s="3"/>
      <c r="X194" s="8">
        <f t="shared" si="38"/>
        <v>-3.0099999999999909</v>
      </c>
      <c r="Y194" s="3"/>
      <c r="Z194" s="7">
        <f t="shared" si="39"/>
        <v>-1.6064214161058375E-3</v>
      </c>
    </row>
    <row r="195" spans="1:26" s="69" customFormat="1" ht="15" hidden="1" customHeight="1" outlineLevel="2" x14ac:dyDescent="0.3">
      <c r="A195" s="26"/>
      <c r="B195" s="12" t="str">
        <f>CONCATENATE("          ","6275"," - ","SUBSCRIPTIONS")</f>
        <v xml:space="preserve">          6275 - SUBSCRIPTIONS</v>
      </c>
      <c r="C195" s="12"/>
      <c r="D195" s="8"/>
      <c r="E195" s="3"/>
      <c r="F195" s="7">
        <f t="shared" si="32"/>
        <v>0</v>
      </c>
      <c r="G195" s="3"/>
      <c r="H195" s="8"/>
      <c r="I195" s="3"/>
      <c r="J195" s="7">
        <f t="shared" si="33"/>
        <v>0</v>
      </c>
      <c r="K195" s="3"/>
      <c r="L195" s="8">
        <f t="shared" si="34"/>
        <v>0</v>
      </c>
      <c r="M195" s="3"/>
      <c r="N195" s="7">
        <f t="shared" si="35"/>
        <v>0</v>
      </c>
      <c r="O195" s="12"/>
      <c r="P195" s="8"/>
      <c r="Q195" s="3"/>
      <c r="R195" s="7">
        <f t="shared" si="36"/>
        <v>0</v>
      </c>
      <c r="S195" s="3"/>
      <c r="T195" s="8">
        <v>2152.81</v>
      </c>
      <c r="U195" s="3"/>
      <c r="V195" s="7">
        <f t="shared" si="37"/>
        <v>5.2761348983787774E-4</v>
      </c>
      <c r="W195" s="3"/>
      <c r="X195" s="8">
        <f t="shared" si="38"/>
        <v>-2152.81</v>
      </c>
      <c r="Y195" s="3"/>
      <c r="Z195" s="7">
        <f t="shared" si="39"/>
        <v>-1</v>
      </c>
    </row>
    <row r="196" spans="1:26" s="68" customFormat="1" ht="15" customHeight="1" outlineLevel="1" collapsed="1" x14ac:dyDescent="0.3">
      <c r="A196" s="25"/>
      <c r="B196" s="14" t="str">
        <f>CONCATENATE("     ","Supplies                                          ")</f>
        <v xml:space="preserve">     Supplies                                          </v>
      </c>
      <c r="C196" s="14"/>
      <c r="D196" s="2">
        <f>SUM(OSRRefD22_20x_0)</f>
        <v>19998.489999999998</v>
      </c>
      <c r="E196" s="2"/>
      <c r="F196" s="6">
        <f t="shared" si="32"/>
        <v>2.5683018901072666E-2</v>
      </c>
      <c r="G196" s="2"/>
      <c r="H196" s="2">
        <f>SUM(OSRRefH22_20x_0)</f>
        <v>7904.01</v>
      </c>
      <c r="I196" s="2"/>
      <c r="J196" s="6">
        <f t="shared" si="33"/>
        <v>3.8966693724097522E-2</v>
      </c>
      <c r="K196" s="2"/>
      <c r="L196" s="2">
        <f t="shared" si="34"/>
        <v>12094.479999999998</v>
      </c>
      <c r="M196" s="2"/>
      <c r="N196" s="6">
        <f t="shared" si="35"/>
        <v>1.5301701288333387</v>
      </c>
      <c r="O196" s="14"/>
      <c r="P196" s="2">
        <f>SUM(OSRRefP22_20x_0)</f>
        <v>76651.839999999997</v>
      </c>
      <c r="Q196" s="2"/>
      <c r="R196" s="6">
        <f t="shared" si="36"/>
        <v>1.4753930631867057E-2</v>
      </c>
      <c r="S196" s="2"/>
      <c r="T196" s="2">
        <f>SUM(OSRRefT22_20x_0)</f>
        <v>98906.61</v>
      </c>
      <c r="U196" s="2"/>
      <c r="V196" s="6">
        <f t="shared" si="37"/>
        <v>2.4240161310163898E-2</v>
      </c>
      <c r="W196" s="2"/>
      <c r="X196" s="2">
        <f t="shared" si="38"/>
        <v>-22254.770000000004</v>
      </c>
      <c r="Y196" s="2"/>
      <c r="Z196" s="6">
        <f t="shared" si="39"/>
        <v>-0.22500791403122605</v>
      </c>
    </row>
    <row r="197" spans="1:26" s="69" customFormat="1" ht="15" hidden="1" customHeight="1" outlineLevel="2" x14ac:dyDescent="0.3">
      <c r="A197" s="26"/>
      <c r="B197" s="12" t="str">
        <f>CONCATENATE("          ","6234"," - ","EXPENDABLE SUPPLIES &amp; EQUIPMEN")</f>
        <v xml:space="preserve">          6234 - EXPENDABLE SUPPLIES &amp; EQUIPMEN</v>
      </c>
      <c r="C197" s="12"/>
      <c r="D197" s="8"/>
      <c r="E197" s="3"/>
      <c r="F197" s="7">
        <f t="shared" si="32"/>
        <v>0</v>
      </c>
      <c r="G197" s="3"/>
      <c r="H197" s="8"/>
      <c r="I197" s="3"/>
      <c r="J197" s="7">
        <f t="shared" si="33"/>
        <v>0</v>
      </c>
      <c r="K197" s="3"/>
      <c r="L197" s="8">
        <f t="shared" si="34"/>
        <v>0</v>
      </c>
      <c r="M197" s="3"/>
      <c r="N197" s="7">
        <f t="shared" si="35"/>
        <v>0</v>
      </c>
      <c r="O197" s="12"/>
      <c r="P197" s="8">
        <v>5289.57</v>
      </c>
      <c r="Q197" s="3"/>
      <c r="R197" s="7">
        <f t="shared" si="36"/>
        <v>1.0181353618178642E-3</v>
      </c>
      <c r="S197" s="3"/>
      <c r="T197" s="8">
        <v>-52.84</v>
      </c>
      <c r="U197" s="3"/>
      <c r="V197" s="7">
        <f t="shared" si="37"/>
        <v>-1.2950096294161335E-5</v>
      </c>
      <c r="W197" s="3"/>
      <c r="X197" s="8">
        <f t="shared" si="38"/>
        <v>5342.41</v>
      </c>
      <c r="Y197" s="3"/>
      <c r="Z197" s="7">
        <f t="shared" si="39"/>
        <v>-101.10541256623769</v>
      </c>
    </row>
    <row r="198" spans="1:26" s="69" customFormat="1" ht="15" hidden="1" customHeight="1" outlineLevel="2" x14ac:dyDescent="0.3">
      <c r="A198" s="26"/>
      <c r="B198" s="12" t="str">
        <f>CONCATENATE("          ","6235"," - ","COVID-19 EXPENSES")</f>
        <v xml:space="preserve">          6235 - COVID-19 EXPENSES</v>
      </c>
      <c r="C198" s="12"/>
      <c r="D198" s="8"/>
      <c r="E198" s="3"/>
      <c r="F198" s="7">
        <f t="shared" si="32"/>
        <v>0</v>
      </c>
      <c r="G198" s="3"/>
      <c r="H198" s="8">
        <v>2992.14</v>
      </c>
      <c r="I198" s="3"/>
      <c r="J198" s="7">
        <f t="shared" si="33"/>
        <v>1.4751221590005723E-2</v>
      </c>
      <c r="K198" s="3"/>
      <c r="L198" s="8">
        <f t="shared" si="34"/>
        <v>-2992.14</v>
      </c>
      <c r="M198" s="3"/>
      <c r="N198" s="7">
        <f t="shared" si="35"/>
        <v>-1</v>
      </c>
      <c r="O198" s="12"/>
      <c r="P198" s="8">
        <v>3430.32</v>
      </c>
      <c r="Q198" s="3"/>
      <c r="R198" s="7">
        <f t="shared" si="36"/>
        <v>6.6026729854242513E-4</v>
      </c>
      <c r="S198" s="3"/>
      <c r="T198" s="8">
        <v>37291.17</v>
      </c>
      <c r="U198" s="3"/>
      <c r="V198" s="7">
        <f t="shared" si="37"/>
        <v>9.1393687059413385E-3</v>
      </c>
      <c r="W198" s="3"/>
      <c r="X198" s="8">
        <f t="shared" si="38"/>
        <v>-33860.85</v>
      </c>
      <c r="Y198" s="3"/>
      <c r="Z198" s="7">
        <f t="shared" si="39"/>
        <v>-0.90801254023405542</v>
      </c>
    </row>
    <row r="199" spans="1:26" s="69" customFormat="1" ht="15" hidden="1" customHeight="1" outlineLevel="2" x14ac:dyDescent="0.3">
      <c r="A199" s="26"/>
      <c r="B199" s="12" t="str">
        <f>CONCATENATE("          ","6237"," - ","JANITORIAL SUPPLIES")</f>
        <v xml:space="preserve">          6237 - JANITORIAL SUPPLIES</v>
      </c>
      <c r="C199" s="12"/>
      <c r="D199" s="8"/>
      <c r="E199" s="3"/>
      <c r="F199" s="7">
        <f t="shared" si="32"/>
        <v>0</v>
      </c>
      <c r="G199" s="3"/>
      <c r="H199" s="8"/>
      <c r="I199" s="3"/>
      <c r="J199" s="7">
        <f t="shared" si="33"/>
        <v>0</v>
      </c>
      <c r="K199" s="3"/>
      <c r="L199" s="8">
        <f t="shared" si="34"/>
        <v>0</v>
      </c>
      <c r="M199" s="3"/>
      <c r="N199" s="7">
        <f t="shared" si="35"/>
        <v>0</v>
      </c>
      <c r="O199" s="12"/>
      <c r="P199" s="8">
        <v>4531.17</v>
      </c>
      <c r="Q199" s="3"/>
      <c r="R199" s="7">
        <f t="shared" si="36"/>
        <v>8.7215868348622882E-4</v>
      </c>
      <c r="S199" s="3"/>
      <c r="T199" s="8">
        <v>2263.65</v>
      </c>
      <c r="U199" s="3"/>
      <c r="V199" s="7">
        <f t="shared" si="37"/>
        <v>5.5477830197347283E-4</v>
      </c>
      <c r="W199" s="3"/>
      <c r="X199" s="8">
        <f t="shared" si="38"/>
        <v>2267.52</v>
      </c>
      <c r="Y199" s="3"/>
      <c r="Z199" s="7">
        <f t="shared" si="39"/>
        <v>1.0017096282552513</v>
      </c>
    </row>
    <row r="200" spans="1:26" s="69" customFormat="1" ht="15" hidden="1" customHeight="1" outlineLevel="2" x14ac:dyDescent="0.3">
      <c r="A200" s="26"/>
      <c r="B200" s="12" t="str">
        <f>CONCATENATE("          ","6241"," - ","OFFICE EXPENSE")</f>
        <v xml:space="preserve">          6241 - OFFICE EXPENSE</v>
      </c>
      <c r="C200" s="12"/>
      <c r="D200" s="8">
        <v>3995.12</v>
      </c>
      <c r="E200" s="3"/>
      <c r="F200" s="7">
        <f t="shared" si="32"/>
        <v>5.1307244933019155E-3</v>
      </c>
      <c r="G200" s="3"/>
      <c r="H200" s="8">
        <v>624.67999999999995</v>
      </c>
      <c r="I200" s="3"/>
      <c r="J200" s="7">
        <f t="shared" si="33"/>
        <v>3.0796664269869644E-3</v>
      </c>
      <c r="K200" s="3"/>
      <c r="L200" s="8">
        <f t="shared" si="34"/>
        <v>3370.44</v>
      </c>
      <c r="M200" s="3"/>
      <c r="N200" s="7">
        <f t="shared" si="35"/>
        <v>5.3954664788371653</v>
      </c>
      <c r="O200" s="12"/>
      <c r="P200" s="8">
        <v>12872.85</v>
      </c>
      <c r="Q200" s="3"/>
      <c r="R200" s="7">
        <f t="shared" si="36"/>
        <v>2.4777635596801048E-3</v>
      </c>
      <c r="S200" s="3"/>
      <c r="T200" s="8">
        <v>9856.5499999999993</v>
      </c>
      <c r="U200" s="3"/>
      <c r="V200" s="7">
        <f t="shared" si="37"/>
        <v>2.4156561625324731E-3</v>
      </c>
      <c r="W200" s="3"/>
      <c r="X200" s="8">
        <f t="shared" si="38"/>
        <v>3016.3000000000011</v>
      </c>
      <c r="Y200" s="3"/>
      <c r="Z200" s="7">
        <f t="shared" si="39"/>
        <v>0.30601985481735511</v>
      </c>
    </row>
    <row r="201" spans="1:26" s="69" customFormat="1" ht="15" hidden="1" customHeight="1" outlineLevel="2" x14ac:dyDescent="0.3">
      <c r="A201" s="26"/>
      <c r="B201" s="12" t="str">
        <f>CONCATENATE("          ","6243"," - ","PAPER SUPPLIES")</f>
        <v xml:space="preserve">          6243 - PAPER SUPPLIES</v>
      </c>
      <c r="C201" s="12"/>
      <c r="D201" s="8">
        <v>1072.69</v>
      </c>
      <c r="E201" s="3"/>
      <c r="F201" s="7">
        <f t="shared" si="32"/>
        <v>1.3775998860409782E-3</v>
      </c>
      <c r="G201" s="3"/>
      <c r="H201" s="8"/>
      <c r="I201" s="3"/>
      <c r="J201" s="7">
        <f t="shared" si="33"/>
        <v>0</v>
      </c>
      <c r="K201" s="3"/>
      <c r="L201" s="8">
        <f t="shared" si="34"/>
        <v>1072.69</v>
      </c>
      <c r="M201" s="3"/>
      <c r="N201" s="7">
        <f t="shared" si="35"/>
        <v>0</v>
      </c>
      <c r="O201" s="12"/>
      <c r="P201" s="8">
        <v>5621.93</v>
      </c>
      <c r="Q201" s="3"/>
      <c r="R201" s="7">
        <f t="shared" si="36"/>
        <v>1.0821079472744864E-3</v>
      </c>
      <c r="S201" s="3"/>
      <c r="T201" s="8">
        <v>6173.4</v>
      </c>
      <c r="U201" s="3"/>
      <c r="V201" s="7">
        <f t="shared" si="37"/>
        <v>1.5129849444052909E-3</v>
      </c>
      <c r="W201" s="3"/>
      <c r="X201" s="8">
        <f t="shared" si="38"/>
        <v>-551.46999999999935</v>
      </c>
      <c r="Y201" s="3"/>
      <c r="Z201" s="7">
        <f t="shared" si="39"/>
        <v>-8.9330028833381828E-2</v>
      </c>
    </row>
    <row r="202" spans="1:26" s="69" customFormat="1" ht="15" hidden="1" customHeight="1" outlineLevel="2" x14ac:dyDescent="0.3">
      <c r="A202" s="26"/>
      <c r="B202" s="12" t="str">
        <f>CONCATENATE("          ","6245"," - ","PRINTING")</f>
        <v xml:space="preserve">          6245 - PRINTING</v>
      </c>
      <c r="C202" s="12"/>
      <c r="D202" s="8">
        <v>502.78</v>
      </c>
      <c r="E202" s="3"/>
      <c r="F202" s="7">
        <f t="shared" si="32"/>
        <v>6.4569416206330151E-4</v>
      </c>
      <c r="G202" s="3"/>
      <c r="H202" s="8">
        <v>398.67</v>
      </c>
      <c r="I202" s="3"/>
      <c r="J202" s="7">
        <f t="shared" si="33"/>
        <v>1.9654392880305007E-3</v>
      </c>
      <c r="K202" s="3"/>
      <c r="L202" s="8">
        <f t="shared" si="34"/>
        <v>104.10999999999996</v>
      </c>
      <c r="M202" s="3"/>
      <c r="N202" s="7">
        <f t="shared" si="35"/>
        <v>0.26114330147741227</v>
      </c>
      <c r="O202" s="12"/>
      <c r="P202" s="8">
        <v>3304.52</v>
      </c>
      <c r="Q202" s="3"/>
      <c r="R202" s="7">
        <f t="shared" si="36"/>
        <v>6.3605334003224621E-4</v>
      </c>
      <c r="S202" s="3"/>
      <c r="T202" s="8">
        <v>906.94</v>
      </c>
      <c r="U202" s="3"/>
      <c r="V202" s="7">
        <f t="shared" si="37"/>
        <v>2.222740411246533E-4</v>
      </c>
      <c r="W202" s="3"/>
      <c r="X202" s="8">
        <f t="shared" si="38"/>
        <v>2397.58</v>
      </c>
      <c r="Y202" s="3"/>
      <c r="Z202" s="7">
        <f t="shared" si="39"/>
        <v>2.6435927404238426</v>
      </c>
    </row>
    <row r="203" spans="1:26" s="69" customFormat="1" ht="15" hidden="1" customHeight="1" outlineLevel="2" x14ac:dyDescent="0.3">
      <c r="A203" s="26"/>
      <c r="B203" s="12" t="str">
        <f>CONCATENATE("          ","6247"," - ","STORE SUPPLIES")</f>
        <v xml:space="preserve">          6247 - STORE SUPPLIES</v>
      </c>
      <c r="C203" s="12"/>
      <c r="D203" s="8">
        <v>14427.9</v>
      </c>
      <c r="E203" s="3"/>
      <c r="F203" s="7">
        <f t="shared" si="32"/>
        <v>1.8529000359666471E-2</v>
      </c>
      <c r="G203" s="3"/>
      <c r="H203" s="8">
        <v>3888.52</v>
      </c>
      <c r="I203" s="3"/>
      <c r="J203" s="7">
        <f t="shared" si="33"/>
        <v>1.9170366419074329E-2</v>
      </c>
      <c r="K203" s="3"/>
      <c r="L203" s="8">
        <f t="shared" si="34"/>
        <v>10539.38</v>
      </c>
      <c r="M203" s="3"/>
      <c r="N203" s="7">
        <f t="shared" si="35"/>
        <v>2.7103833849382282</v>
      </c>
      <c r="O203" s="12"/>
      <c r="P203" s="8">
        <v>41601.480000000003</v>
      </c>
      <c r="Q203" s="3"/>
      <c r="R203" s="7">
        <f t="shared" si="36"/>
        <v>8.0074444410337016E-3</v>
      </c>
      <c r="S203" s="3"/>
      <c r="T203" s="8">
        <v>42467.74</v>
      </c>
      <c r="U203" s="3"/>
      <c r="V203" s="7">
        <f t="shared" si="37"/>
        <v>1.040804925048083E-2</v>
      </c>
      <c r="W203" s="3"/>
      <c r="X203" s="8">
        <f t="shared" si="38"/>
        <v>-866.25999999999476</v>
      </c>
      <c r="Y203" s="3"/>
      <c r="Z203" s="7">
        <f t="shared" si="39"/>
        <v>-2.0398071571503331E-2</v>
      </c>
    </row>
    <row r="204" spans="1:26" s="68" customFormat="1" ht="15" customHeight="1" outlineLevel="1" collapsed="1" x14ac:dyDescent="0.3">
      <c r="A204" s="25"/>
      <c r="B204" s="14" t="str">
        <f>CONCATENATE("     ","Telephone/Data Lines                              ")</f>
        <v xml:space="preserve">     Telephone/Data Lines                              </v>
      </c>
      <c r="C204" s="14"/>
      <c r="D204" s="2">
        <f>SUM(OSRRefD22_21x_0)</f>
        <v>1683.14</v>
      </c>
      <c r="E204" s="2"/>
      <c r="F204" s="6">
        <f t="shared" si="32"/>
        <v>2.1615690201185916E-3</v>
      </c>
      <c r="G204" s="2"/>
      <c r="H204" s="2">
        <f>SUM(OSRRefH22_21x_0)</f>
        <v>1238.5999999999999</v>
      </c>
      <c r="I204" s="2"/>
      <c r="J204" s="6">
        <f t="shared" si="33"/>
        <v>6.1062861568579978E-3</v>
      </c>
      <c r="K204" s="2"/>
      <c r="L204" s="2">
        <f t="shared" si="34"/>
        <v>444.54000000000019</v>
      </c>
      <c r="M204" s="2"/>
      <c r="N204" s="6">
        <f t="shared" si="35"/>
        <v>0.35890521556596178</v>
      </c>
      <c r="O204" s="14"/>
      <c r="P204" s="2">
        <f>SUM(OSRRefP22_21x_0)</f>
        <v>14630.73</v>
      </c>
      <c r="Q204" s="2"/>
      <c r="R204" s="6">
        <f t="shared" si="36"/>
        <v>2.8161199458953145E-3</v>
      </c>
      <c r="S204" s="2"/>
      <c r="T204" s="2">
        <f>SUM(OSRRefT22_21x_0)</f>
        <v>18428.599999999999</v>
      </c>
      <c r="U204" s="2"/>
      <c r="V204" s="6">
        <f t="shared" si="37"/>
        <v>4.5165053854387118E-3</v>
      </c>
      <c r="W204" s="2"/>
      <c r="X204" s="2">
        <f t="shared" si="38"/>
        <v>-3797.869999999999</v>
      </c>
      <c r="Y204" s="2"/>
      <c r="Z204" s="6">
        <f t="shared" si="39"/>
        <v>-0.20608564947961316</v>
      </c>
    </row>
    <row r="205" spans="1:26" s="69" customFormat="1" ht="15" hidden="1" customHeight="1" outlineLevel="2" x14ac:dyDescent="0.3">
      <c r="A205" s="26"/>
      <c r="B205" s="12" t="str">
        <f>CONCATENATE("          ","6303"," - ","DATA PHONE LINES")</f>
        <v xml:space="preserve">          6303 - DATA PHONE LINES</v>
      </c>
      <c r="C205" s="12"/>
      <c r="D205" s="8"/>
      <c r="E205" s="3"/>
      <c r="F205" s="7">
        <f t="shared" si="32"/>
        <v>0</v>
      </c>
      <c r="G205" s="3"/>
      <c r="H205" s="8">
        <v>590</v>
      </c>
      <c r="I205" s="3"/>
      <c r="J205" s="7">
        <f t="shared" si="33"/>
        <v>2.9086943585872912E-3</v>
      </c>
      <c r="K205" s="3"/>
      <c r="L205" s="8">
        <f t="shared" si="34"/>
        <v>-590</v>
      </c>
      <c r="M205" s="3"/>
      <c r="N205" s="7">
        <f t="shared" si="35"/>
        <v>-1</v>
      </c>
      <c r="O205" s="12"/>
      <c r="P205" s="8">
        <v>295</v>
      </c>
      <c r="Q205" s="3"/>
      <c r="R205" s="7">
        <f t="shared" si="36"/>
        <v>5.6781540226572275E-5</v>
      </c>
      <c r="S205" s="3"/>
      <c r="T205" s="8">
        <v>2950</v>
      </c>
      <c r="U205" s="3"/>
      <c r="V205" s="7">
        <f t="shared" si="37"/>
        <v>7.2298985745223188E-4</v>
      </c>
      <c r="W205" s="3"/>
      <c r="X205" s="8">
        <f t="shared" si="38"/>
        <v>-2655</v>
      </c>
      <c r="Y205" s="3"/>
      <c r="Z205" s="7">
        <f t="shared" si="39"/>
        <v>-0.9</v>
      </c>
    </row>
    <row r="206" spans="1:26" s="69" customFormat="1" ht="15" hidden="1" customHeight="1" outlineLevel="2" x14ac:dyDescent="0.3">
      <c r="A206" s="26"/>
      <c r="B206" s="12" t="str">
        <f>CONCATENATE("          ","6309"," - ","TELEPHONE")</f>
        <v xml:space="preserve">          6309 - TELEPHONE</v>
      </c>
      <c r="C206" s="12"/>
      <c r="D206" s="8">
        <v>1683.14</v>
      </c>
      <c r="E206" s="3"/>
      <c r="F206" s="7">
        <f t="shared" si="32"/>
        <v>2.1615690201185916E-3</v>
      </c>
      <c r="G206" s="3"/>
      <c r="H206" s="8">
        <v>648.6</v>
      </c>
      <c r="I206" s="3"/>
      <c r="J206" s="7">
        <f t="shared" si="33"/>
        <v>3.197591798270707E-3</v>
      </c>
      <c r="K206" s="3"/>
      <c r="L206" s="8">
        <f t="shared" si="34"/>
        <v>1034.54</v>
      </c>
      <c r="M206" s="3"/>
      <c r="N206" s="7">
        <f t="shared" si="35"/>
        <v>1.5950354609929076</v>
      </c>
      <c r="O206" s="12"/>
      <c r="P206" s="8">
        <v>14335.73</v>
      </c>
      <c r="Q206" s="3"/>
      <c r="R206" s="7">
        <f t="shared" si="36"/>
        <v>2.7593384056687422E-3</v>
      </c>
      <c r="S206" s="3"/>
      <c r="T206" s="8">
        <v>15478.6</v>
      </c>
      <c r="U206" s="3"/>
      <c r="V206" s="7">
        <f t="shared" si="37"/>
        <v>3.7935155279864804E-3</v>
      </c>
      <c r="W206" s="3"/>
      <c r="X206" s="8">
        <f t="shared" si="38"/>
        <v>-1142.8700000000008</v>
      </c>
      <c r="Y206" s="3"/>
      <c r="Z206" s="7">
        <f t="shared" si="39"/>
        <v>-7.3835488997713028E-2</v>
      </c>
    </row>
    <row r="207" spans="1:26" s="68" customFormat="1" ht="15" customHeight="1" outlineLevel="1" collapsed="1" x14ac:dyDescent="0.3">
      <c r="A207" s="25"/>
      <c r="B207" s="14" t="str">
        <f>CONCATENATE("     ","Training                                          ")</f>
        <v xml:space="preserve">     Training                                          </v>
      </c>
      <c r="C207" s="14"/>
      <c r="D207" s="2">
        <f>SUM(OSRRefD22_22x_0)</f>
        <v>300</v>
      </c>
      <c r="E207" s="2"/>
      <c r="F207" s="6">
        <f t="shared" si="32"/>
        <v>3.8527437173115569E-4</v>
      </c>
      <c r="G207" s="2"/>
      <c r="H207" s="2">
        <f>SUM(OSRRefH22_22x_0)</f>
        <v>750</v>
      </c>
      <c r="I207" s="2"/>
      <c r="J207" s="6">
        <f t="shared" si="33"/>
        <v>3.6974928287126581E-3</v>
      </c>
      <c r="K207" s="2"/>
      <c r="L207" s="2">
        <f t="shared" si="34"/>
        <v>-450</v>
      </c>
      <c r="M207" s="2"/>
      <c r="N207" s="6">
        <f t="shared" si="35"/>
        <v>-0.6</v>
      </c>
      <c r="O207" s="14"/>
      <c r="P207" s="2">
        <f>SUM(OSRRefP22_22x_0)</f>
        <v>895</v>
      </c>
      <c r="Q207" s="2"/>
      <c r="R207" s="6">
        <f t="shared" si="36"/>
        <v>1.7226941865349895E-4</v>
      </c>
      <c r="S207" s="2"/>
      <c r="T207" s="2">
        <f>SUM(OSRRefT22_22x_0)</f>
        <v>895.63</v>
      </c>
      <c r="U207" s="2"/>
      <c r="V207" s="6">
        <f t="shared" si="37"/>
        <v>2.1950217153557372E-4</v>
      </c>
      <c r="W207" s="2"/>
      <c r="X207" s="2">
        <f t="shared" si="38"/>
        <v>-0.62999999999999545</v>
      </c>
      <c r="Y207" s="2"/>
      <c r="Z207" s="6">
        <f t="shared" si="39"/>
        <v>-7.0341547290733394E-4</v>
      </c>
    </row>
    <row r="208" spans="1:26" s="69" customFormat="1" ht="15" hidden="1" customHeight="1" outlineLevel="2" x14ac:dyDescent="0.3">
      <c r="A208" s="26"/>
      <c r="B208" s="12" t="str">
        <f>CONCATENATE("          ","6376"," - ","TRAINING")</f>
        <v xml:space="preserve">          6376 - TRAINING</v>
      </c>
      <c r="C208" s="12"/>
      <c r="D208" s="8">
        <v>300</v>
      </c>
      <c r="E208" s="3"/>
      <c r="F208" s="7">
        <f t="shared" si="32"/>
        <v>3.8527437173115569E-4</v>
      </c>
      <c r="G208" s="3"/>
      <c r="H208" s="8">
        <v>750</v>
      </c>
      <c r="I208" s="3"/>
      <c r="J208" s="7">
        <f t="shared" si="33"/>
        <v>3.6974928287126581E-3</v>
      </c>
      <c r="K208" s="3"/>
      <c r="L208" s="8">
        <f t="shared" si="34"/>
        <v>-450</v>
      </c>
      <c r="M208" s="3"/>
      <c r="N208" s="7">
        <f t="shared" si="35"/>
        <v>-0.6</v>
      </c>
      <c r="O208" s="12"/>
      <c r="P208" s="8">
        <v>895</v>
      </c>
      <c r="Q208" s="3"/>
      <c r="R208" s="7">
        <f t="shared" si="36"/>
        <v>1.7226941865349895E-4</v>
      </c>
      <c r="S208" s="3"/>
      <c r="T208" s="8">
        <v>895.63</v>
      </c>
      <c r="U208" s="3"/>
      <c r="V208" s="7">
        <f t="shared" si="37"/>
        <v>2.1950217153557372E-4</v>
      </c>
      <c r="W208" s="3"/>
      <c r="X208" s="8">
        <f t="shared" si="38"/>
        <v>-0.62999999999999545</v>
      </c>
      <c r="Y208" s="3"/>
      <c r="Z208" s="7">
        <f t="shared" si="39"/>
        <v>-7.0341547290733394E-4</v>
      </c>
    </row>
    <row r="209" spans="1:26" s="68" customFormat="1" ht="15" customHeight="1" outlineLevel="1" collapsed="1" x14ac:dyDescent="0.3">
      <c r="A209" s="25"/>
      <c r="B209" s="14" t="str">
        <f>CONCATENATE("     ","Travel                                            ")</f>
        <v xml:space="preserve">     Travel                                            </v>
      </c>
      <c r="C209" s="14"/>
      <c r="D209" s="2">
        <f>SUM(OSRRefD22_23x_0)</f>
        <v>206.75</v>
      </c>
      <c r="E209" s="2"/>
      <c r="F209" s="6">
        <f t="shared" si="32"/>
        <v>2.6551825451805481E-4</v>
      </c>
      <c r="G209" s="2"/>
      <c r="H209" s="2">
        <f>SUM(OSRRefH22_23x_0)</f>
        <v>0</v>
      </c>
      <c r="I209" s="2"/>
      <c r="J209" s="6">
        <f t="shared" si="33"/>
        <v>0</v>
      </c>
      <c r="K209" s="2"/>
      <c r="L209" s="2">
        <f t="shared" si="34"/>
        <v>206.75</v>
      </c>
      <c r="M209" s="2"/>
      <c r="N209" s="6">
        <f t="shared" si="35"/>
        <v>0</v>
      </c>
      <c r="O209" s="14"/>
      <c r="P209" s="2">
        <f>SUM(OSRRefP22_23x_0)</f>
        <v>1088.76</v>
      </c>
      <c r="Q209" s="2"/>
      <c r="R209" s="6">
        <f t="shared" si="36"/>
        <v>2.0956430419350112E-4</v>
      </c>
      <c r="S209" s="2"/>
      <c r="T209" s="2">
        <f>SUM(OSRRefT22_23x_0)</f>
        <v>810.31000000000006</v>
      </c>
      <c r="U209" s="2"/>
      <c r="V209" s="6">
        <f t="shared" si="37"/>
        <v>1.9859183437020953E-4</v>
      </c>
      <c r="W209" s="2"/>
      <c r="X209" s="2">
        <f t="shared" si="38"/>
        <v>278.44999999999993</v>
      </c>
      <c r="Y209" s="2"/>
      <c r="Z209" s="6">
        <f t="shared" si="39"/>
        <v>0.34363391788327913</v>
      </c>
    </row>
    <row r="210" spans="1:26" s="69" customFormat="1" ht="15" hidden="1" customHeight="1" outlineLevel="2" x14ac:dyDescent="0.3">
      <c r="A210" s="26"/>
      <c r="B210" s="12" t="str">
        <f>CONCATENATE("          ","6292"," - ","TRAVEL/CONFERENCE")</f>
        <v xml:space="preserve">          6292 - TRAVEL/CONFERENCE</v>
      </c>
      <c r="C210" s="12"/>
      <c r="D210" s="8"/>
      <c r="E210" s="3"/>
      <c r="F210" s="7">
        <f t="shared" si="32"/>
        <v>0</v>
      </c>
      <c r="G210" s="3"/>
      <c r="H210" s="8"/>
      <c r="I210" s="3"/>
      <c r="J210" s="7">
        <f t="shared" si="33"/>
        <v>0</v>
      </c>
      <c r="K210" s="3"/>
      <c r="L210" s="8">
        <f t="shared" si="34"/>
        <v>0</v>
      </c>
      <c r="M210" s="3"/>
      <c r="N210" s="7">
        <f t="shared" si="35"/>
        <v>0</v>
      </c>
      <c r="O210" s="12"/>
      <c r="P210" s="8">
        <v>495</v>
      </c>
      <c r="Q210" s="3"/>
      <c r="R210" s="7">
        <f t="shared" si="36"/>
        <v>9.5277499702214492E-5</v>
      </c>
      <c r="S210" s="3"/>
      <c r="T210" s="8">
        <v>299.16000000000003</v>
      </c>
      <c r="U210" s="3"/>
      <c r="V210" s="7">
        <f t="shared" si="37"/>
        <v>7.3318523984884648E-5</v>
      </c>
      <c r="W210" s="3"/>
      <c r="X210" s="8">
        <f t="shared" si="38"/>
        <v>195.83999999999997</v>
      </c>
      <c r="Y210" s="3"/>
      <c r="Z210" s="7">
        <f t="shared" si="39"/>
        <v>0.65463297232250284</v>
      </c>
    </row>
    <row r="211" spans="1:26" s="69" customFormat="1" ht="15" hidden="1" customHeight="1" outlineLevel="2" x14ac:dyDescent="0.3">
      <c r="A211" s="26"/>
      <c r="B211" s="12" t="str">
        <f>CONCATENATE("          ","6294"," - ","TRAVEL OPERATIONAL")</f>
        <v xml:space="preserve">          6294 - TRAVEL OPERATIONAL</v>
      </c>
      <c r="C211" s="12"/>
      <c r="D211" s="8">
        <v>116.74</v>
      </c>
      <c r="E211" s="3"/>
      <c r="F211" s="7">
        <f t="shared" si="32"/>
        <v>1.4992310051965038E-4</v>
      </c>
      <c r="G211" s="3"/>
      <c r="H211" s="8"/>
      <c r="I211" s="3"/>
      <c r="J211" s="7">
        <f t="shared" si="33"/>
        <v>0</v>
      </c>
      <c r="K211" s="3"/>
      <c r="L211" s="8">
        <f t="shared" si="34"/>
        <v>116.74</v>
      </c>
      <c r="M211" s="3"/>
      <c r="N211" s="7">
        <f t="shared" si="35"/>
        <v>0</v>
      </c>
      <c r="O211" s="12"/>
      <c r="P211" s="8">
        <v>356.67</v>
      </c>
      <c r="Q211" s="3"/>
      <c r="R211" s="7">
        <f t="shared" si="36"/>
        <v>6.8651769330886557E-5</v>
      </c>
      <c r="S211" s="3"/>
      <c r="T211" s="8">
        <v>451.26</v>
      </c>
      <c r="U211" s="3"/>
      <c r="V211" s="7">
        <f t="shared" si="37"/>
        <v>1.105953908725065E-4</v>
      </c>
      <c r="W211" s="3"/>
      <c r="X211" s="8">
        <f t="shared" si="38"/>
        <v>-94.589999999999975</v>
      </c>
      <c r="Y211" s="3"/>
      <c r="Z211" s="7">
        <f t="shared" si="39"/>
        <v>-0.20961308336657355</v>
      </c>
    </row>
    <row r="212" spans="1:26" s="69" customFormat="1" ht="15" hidden="1" customHeight="1" outlineLevel="2" x14ac:dyDescent="0.3">
      <c r="A212" s="26"/>
      <c r="B212" s="12" t="str">
        <f>CONCATENATE("          ","6298"," - ","VEHICLE MILEAGE")</f>
        <v xml:space="preserve">          6298 - VEHICLE MILEAGE</v>
      </c>
      <c r="C212" s="12"/>
      <c r="D212" s="8">
        <v>90.01</v>
      </c>
      <c r="E212" s="3"/>
      <c r="F212" s="7">
        <f t="shared" si="32"/>
        <v>1.1559515399840442E-4</v>
      </c>
      <c r="G212" s="3"/>
      <c r="H212" s="8"/>
      <c r="I212" s="3"/>
      <c r="J212" s="7">
        <f t="shared" si="33"/>
        <v>0</v>
      </c>
      <c r="K212" s="3"/>
      <c r="L212" s="8">
        <f t="shared" si="34"/>
        <v>90.01</v>
      </c>
      <c r="M212" s="3"/>
      <c r="N212" s="7">
        <f t="shared" si="35"/>
        <v>0</v>
      </c>
      <c r="O212" s="12"/>
      <c r="P212" s="8">
        <v>237.09</v>
      </c>
      <c r="Q212" s="3"/>
      <c r="R212" s="7">
        <f t="shared" si="36"/>
        <v>4.563503516040007E-5</v>
      </c>
      <c r="S212" s="3"/>
      <c r="T212" s="8">
        <v>59.89</v>
      </c>
      <c r="U212" s="3"/>
      <c r="V212" s="7">
        <f t="shared" si="37"/>
        <v>1.4677919512818364E-5</v>
      </c>
      <c r="W212" s="3"/>
      <c r="X212" s="8">
        <f t="shared" si="38"/>
        <v>177.2</v>
      </c>
      <c r="Y212" s="3"/>
      <c r="Z212" s="7">
        <f t="shared" si="39"/>
        <v>2.9587577224912338</v>
      </c>
    </row>
    <row r="213" spans="1:26" s="68" customFormat="1" ht="15" customHeight="1" outlineLevel="1" collapsed="1" x14ac:dyDescent="0.3">
      <c r="A213" s="25"/>
      <c r="B213" s="14" t="str">
        <f>CONCATENATE("     ","Utilities                                         ")</f>
        <v xml:space="preserve">     Utilities                                         </v>
      </c>
      <c r="C213" s="14"/>
      <c r="D213" s="2">
        <f>SUM(OSRRefD22_24x_0)</f>
        <v>6355.65</v>
      </c>
      <c r="E213" s="2"/>
      <c r="F213" s="6">
        <f t="shared" si="32"/>
        <v>8.1622302023103988E-3</v>
      </c>
      <c r="G213" s="2"/>
      <c r="H213" s="2">
        <f>SUM(OSRRefH22_24x_0)</f>
        <v>6161.14</v>
      </c>
      <c r="I213" s="2"/>
      <c r="J213" s="6">
        <f t="shared" si="33"/>
        <v>3.0374361288926278E-2</v>
      </c>
      <c r="K213" s="2"/>
      <c r="L213" s="2">
        <f t="shared" si="34"/>
        <v>194.50999999999931</v>
      </c>
      <c r="M213" s="2"/>
      <c r="N213" s="6">
        <f t="shared" si="35"/>
        <v>3.1570456116887344E-2</v>
      </c>
      <c r="O213" s="14"/>
      <c r="P213" s="2">
        <f>SUM(OSRRefP22_24x_0)</f>
        <v>42895.07</v>
      </c>
      <c r="Q213" s="2"/>
      <c r="R213" s="6">
        <f t="shared" si="36"/>
        <v>8.2564343821241813E-3</v>
      </c>
      <c r="S213" s="2"/>
      <c r="T213" s="2">
        <f>SUM(OSRRefT22_24x_0)</f>
        <v>49088.17</v>
      </c>
      <c r="U213" s="2"/>
      <c r="V213" s="6">
        <f t="shared" si="37"/>
        <v>1.2030592891827433E-2</v>
      </c>
      <c r="W213" s="2"/>
      <c r="X213" s="2">
        <f t="shared" si="38"/>
        <v>-6193.0999999999985</v>
      </c>
      <c r="Y213" s="2"/>
      <c r="Z213" s="6">
        <f t="shared" si="39"/>
        <v>-0.1261627801566039</v>
      </c>
    </row>
    <row r="214" spans="1:26" s="69" customFormat="1" ht="15" hidden="1" customHeight="1" outlineLevel="2" x14ac:dyDescent="0.3">
      <c r="A214" s="26"/>
      <c r="B214" s="12" t="str">
        <f>CONCATENATE("          ","6274"," - ","UTILITIES")</f>
        <v xml:space="preserve">          6274 - UTILITIES</v>
      </c>
      <c r="C214" s="12"/>
      <c r="D214" s="8">
        <v>6355.65</v>
      </c>
      <c r="E214" s="3"/>
      <c r="F214" s="7">
        <f t="shared" si="32"/>
        <v>8.1622302023103988E-3</v>
      </c>
      <c r="G214" s="3"/>
      <c r="H214" s="8">
        <v>6161.14</v>
      </c>
      <c r="I214" s="3"/>
      <c r="J214" s="7">
        <f t="shared" si="33"/>
        <v>3.0374361288926278E-2</v>
      </c>
      <c r="K214" s="3"/>
      <c r="L214" s="8">
        <f t="shared" si="34"/>
        <v>194.50999999999931</v>
      </c>
      <c r="M214" s="3"/>
      <c r="N214" s="7">
        <f t="shared" si="35"/>
        <v>3.1570456116887344E-2</v>
      </c>
      <c r="O214" s="12"/>
      <c r="P214" s="8">
        <v>42895.07</v>
      </c>
      <c r="Q214" s="3"/>
      <c r="R214" s="7">
        <f t="shared" si="36"/>
        <v>8.2564343821241813E-3</v>
      </c>
      <c r="S214" s="3"/>
      <c r="T214" s="8">
        <v>49088.17</v>
      </c>
      <c r="U214" s="3"/>
      <c r="V214" s="7">
        <f t="shared" si="37"/>
        <v>1.2030592891827433E-2</v>
      </c>
      <c r="W214" s="3"/>
      <c r="X214" s="8">
        <f t="shared" si="38"/>
        <v>-6193.0999999999985</v>
      </c>
      <c r="Y214" s="3"/>
      <c r="Z214" s="7">
        <f t="shared" si="39"/>
        <v>-0.1261627801566039</v>
      </c>
    </row>
    <row r="215" spans="1:26" s="64" customFormat="1" ht="15" customHeight="1" x14ac:dyDescent="0.3">
      <c r="A215" s="36"/>
      <c r="B215" s="36"/>
      <c r="C215" s="36"/>
      <c r="D215" s="2"/>
      <c r="E215" s="2"/>
      <c r="F215" s="6"/>
      <c r="G215" s="2"/>
      <c r="H215" s="2"/>
      <c r="I215" s="2"/>
      <c r="J215" s="6"/>
      <c r="K215" s="2"/>
      <c r="L215" s="2"/>
      <c r="M215" s="2"/>
      <c r="N215" s="6"/>
      <c r="O215" s="36"/>
      <c r="P215" s="2"/>
      <c r="Q215" s="2"/>
      <c r="R215" s="6"/>
      <c r="S215" s="2"/>
      <c r="T215" s="2"/>
      <c r="U215" s="2"/>
      <c r="V215" s="6"/>
      <c r="W215" s="2"/>
      <c r="X215" s="2"/>
      <c r="Y215" s="2"/>
      <c r="Z215" s="6"/>
    </row>
    <row r="216" spans="1:26" s="62" customFormat="1" ht="15" customHeight="1" collapsed="1" x14ac:dyDescent="0.3">
      <c r="A216" s="11"/>
      <c r="B216" s="27" t="s">
        <v>290</v>
      </c>
      <c r="C216" s="11"/>
      <c r="D216" s="5">
        <f>SUM(OSRRefD25x_0)</f>
        <v>212140.37999999998</v>
      </c>
      <c r="E216" s="5"/>
      <c r="F216" s="13">
        <f>IF(D$12=0,0,D216/D$12)</f>
        <v>0.27244083874436209</v>
      </c>
      <c r="G216" s="5"/>
      <c r="H216" s="5">
        <f>SUM(OSRRefH25x_0)</f>
        <v>196876.80000000002</v>
      </c>
      <c r="I216" s="5"/>
      <c r="J216" s="13">
        <f>IF(H$12=0,0,H216/H$12)</f>
        <v>0.97060074151986175</v>
      </c>
      <c r="K216" s="5"/>
      <c r="L216" s="5">
        <f>+D216-H216</f>
        <v>15263.579999999958</v>
      </c>
      <c r="M216" s="5"/>
      <c r="N216" s="13">
        <f>IF(H216=0,0,L216/H216)</f>
        <v>7.7528586405305022E-2</v>
      </c>
      <c r="O216" s="11"/>
      <c r="P216" s="5">
        <f>SUM(OSRRefP25x_0)</f>
        <v>728038.79999999993</v>
      </c>
      <c r="Q216" s="5"/>
      <c r="R216" s="13">
        <f>IF(P$12=0,0,P216/P$12)</f>
        <v>0.14013276070747593</v>
      </c>
      <c r="S216" s="5"/>
      <c r="T216" s="5">
        <f>SUM(OSRRefT25x_0)</f>
        <v>773255.40999999992</v>
      </c>
      <c r="U216" s="5"/>
      <c r="V216" s="13">
        <f>IF(T$12=0,0,T216/T$12)</f>
        <v>0.18951044700002273</v>
      </c>
      <c r="W216" s="5"/>
      <c r="X216" s="5">
        <f>+P216-T216</f>
        <v>-45216.609999999986</v>
      </c>
      <c r="Y216" s="5"/>
      <c r="Z216" s="13">
        <f>IF(T216=0,0,X216/T216)</f>
        <v>-5.847564648787907E-2</v>
      </c>
    </row>
    <row r="217" spans="1:26" s="69" customFormat="1" ht="15" hidden="1" customHeight="1" outlineLevel="1" x14ac:dyDescent="0.3">
      <c r="A217" s="42"/>
      <c r="B217" s="12" t="str">
        <f>CONCATENATE("          ","9150"," - ","MISC. INCOME")</f>
        <v xml:space="preserve">          9150 - MISC. INCOME</v>
      </c>
      <c r="C217" s="12"/>
      <c r="D217" s="3">
        <f>--59426.7</f>
        <v>59426.7</v>
      </c>
      <c r="E217" s="3"/>
      <c r="F217" s="20">
        <f>IF(D$12=0,0,D217/D$12)</f>
        <v>7.6318615021852901E-2</v>
      </c>
      <c r="G217" s="3"/>
      <c r="H217" s="3">
        <f>--52128.38</f>
        <v>52128.38</v>
      </c>
      <c r="I217" s="3"/>
      <c r="J217" s="20">
        <f>IF(H$12=0,0,H217/H$12)</f>
        <v>0.25699241496321112</v>
      </c>
      <c r="K217" s="3"/>
      <c r="L217" s="3">
        <f>+D217-H217</f>
        <v>7298.32</v>
      </c>
      <c r="M217" s="3"/>
      <c r="N217" s="20">
        <f>IF(H217=0,0,L217/H217)</f>
        <v>0.14000665280601468</v>
      </c>
      <c r="O217" s="12"/>
      <c r="P217" s="3">
        <f>--320633.77</f>
        <v>320633.77</v>
      </c>
      <c r="Q217" s="3"/>
      <c r="R217" s="20">
        <f>IF(P$12=0,0,P217/P$12)</f>
        <v>6.1715523082211947E-2</v>
      </c>
      <c r="S217" s="3"/>
      <c r="T217" s="3">
        <f>--300611.5</f>
        <v>300611.5</v>
      </c>
      <c r="U217" s="3"/>
      <c r="V217" s="20">
        <f>IF(T$12=0,0,T217/T$12)</f>
        <v>7.3674259502881909E-2</v>
      </c>
      <c r="W217" s="3"/>
      <c r="X217" s="3">
        <f>+P217-T217</f>
        <v>20022.270000000019</v>
      </c>
      <c r="Y217" s="3"/>
      <c r="Z217" s="20">
        <f>IF(T217=0,0,X217/T217)</f>
        <v>6.660513653003966E-2</v>
      </c>
    </row>
    <row r="218" spans="1:26" s="69" customFormat="1" ht="15" hidden="1" customHeight="1" outlineLevel="1" x14ac:dyDescent="0.3">
      <c r="A218" s="42"/>
      <c r="B218" s="12" t="str">
        <f>CONCATENATE("          ","9151"," - ","MISC. INCOME")</f>
        <v xml:space="preserve">          9151 - MISC. INCOME</v>
      </c>
      <c r="C218" s="12"/>
      <c r="D218" s="3">
        <f>--152339.59</f>
        <v>152339.59</v>
      </c>
      <c r="E218" s="3"/>
      <c r="F218" s="20">
        <f>IF(D$12=0,0,D218/D$12)</f>
        <v>0.19564179942343951</v>
      </c>
      <c r="G218" s="3"/>
      <c r="H218" s="3">
        <f>--148653.31</f>
        <v>148653.31</v>
      </c>
      <c r="I218" s="3"/>
      <c r="J218" s="20">
        <f>IF(H$12=0,0,H218/H$12)</f>
        <v>0.73285939691919955</v>
      </c>
      <c r="K218" s="3"/>
      <c r="L218" s="3">
        <f>+D218-H218</f>
        <v>3686.2799999999988</v>
      </c>
      <c r="M218" s="3"/>
      <c r="N218" s="20">
        <f>IF(H218=0,0,L218/H218)</f>
        <v>2.4797833294125767E-2</v>
      </c>
      <c r="O218" s="12"/>
      <c r="P218" s="3">
        <f>--323761.7</f>
        <v>323761.7</v>
      </c>
      <c r="Q218" s="3"/>
      <c r="R218" s="20">
        <f>IF(P$12=0,0,P218/P$12)</f>
        <v>6.2317586414825175E-2</v>
      </c>
      <c r="S218" s="3"/>
      <c r="T218" s="3">
        <f>--297910.7</f>
        <v>297910.7</v>
      </c>
      <c r="U218" s="3"/>
      <c r="V218" s="20">
        <f>IF(T$12=0,0,T218/T$12)</f>
        <v>7.3012343907286323E-2</v>
      </c>
      <c r="W218" s="3"/>
      <c r="X218" s="3">
        <f>+P218-T218</f>
        <v>25851</v>
      </c>
      <c r="Y218" s="3"/>
      <c r="Z218" s="20">
        <f>IF(T218=0,0,X218/T218)</f>
        <v>8.6774325326347795E-2</v>
      </c>
    </row>
    <row r="219" spans="1:26" s="69" customFormat="1" ht="15" hidden="1" customHeight="1" outlineLevel="1" x14ac:dyDescent="0.3">
      <c r="A219" s="42"/>
      <c r="B219" s="12" t="str">
        <f>CONCATENATE("          ","9152"," - ","MISC. INCOME")</f>
        <v xml:space="preserve">          9152 - MISC. INCOME</v>
      </c>
      <c r="C219" s="12"/>
      <c r="D219" s="3">
        <f>--374.09</f>
        <v>374.09</v>
      </c>
      <c r="E219" s="3"/>
      <c r="F219" s="20">
        <f>IF(D$12=0,0,D219/D$12)</f>
        <v>4.8042429906969346E-4</v>
      </c>
      <c r="G219" s="3"/>
      <c r="H219" s="3">
        <f>--81.19</f>
        <v>81.19</v>
      </c>
      <c r="I219" s="3"/>
      <c r="J219" s="20">
        <f>IF(H$12=0,0,H219/H$12)</f>
        <v>4.0026592368424098E-4</v>
      </c>
      <c r="K219" s="3"/>
      <c r="L219" s="3">
        <f>+D219-H219</f>
        <v>292.89999999999998</v>
      </c>
      <c r="M219" s="3"/>
      <c r="N219" s="20">
        <f>IF(H219=0,0,L219/H219)</f>
        <v>3.6075871412735556</v>
      </c>
      <c r="O219" s="12"/>
      <c r="P219" s="3">
        <f>--3867.63</f>
        <v>3867.63</v>
      </c>
      <c r="Q219" s="3"/>
      <c r="R219" s="20">
        <f>IF(P$12=0,0,P219/P$12)</f>
        <v>7.4444063873389062E-4</v>
      </c>
      <c r="S219" s="3"/>
      <c r="T219" s="3">
        <f>--3313.45</f>
        <v>3313.45</v>
      </c>
      <c r="U219" s="3"/>
      <c r="V219" s="20">
        <f>IF(T$12=0,0,T219/T$12)</f>
        <v>8.1206465870342301E-4</v>
      </c>
      <c r="W219" s="3"/>
      <c r="X219" s="3">
        <f>+P219-T219</f>
        <v>554.18000000000029</v>
      </c>
      <c r="Y219" s="3"/>
      <c r="Z219" s="20">
        <f>IF(T219=0,0,X219/T219)</f>
        <v>0.16725165612880843</v>
      </c>
    </row>
    <row r="220" spans="1:26" s="69" customFormat="1" ht="15" hidden="1" customHeight="1" outlineLevel="1" x14ac:dyDescent="0.3">
      <c r="A220" s="42"/>
      <c r="B220" s="12" t="str">
        <f>CONCATENATE("          ","9163"," - ","MISC. INCOME")</f>
        <v xml:space="preserve">          9163 - MISC. INCOME</v>
      </c>
      <c r="C220" s="12"/>
      <c r="D220" s="3">
        <f>0</f>
        <v>0</v>
      </c>
      <c r="E220" s="3"/>
      <c r="F220" s="20">
        <f>IF(D$12=0,0,D220/D$12)</f>
        <v>0</v>
      </c>
      <c r="G220" s="3"/>
      <c r="H220" s="3">
        <f>-3986.08</f>
        <v>-3986.08</v>
      </c>
      <c r="I220" s="3"/>
      <c r="J220" s="20">
        <f>IF(H$12=0,0,H220/H$12)</f>
        <v>-1.9651336286233272E-2</v>
      </c>
      <c r="K220" s="3"/>
      <c r="L220" s="3">
        <f>+D220-H220</f>
        <v>3986.08</v>
      </c>
      <c r="M220" s="3"/>
      <c r="N220" s="20">
        <f>IF(H220=0,0,L220/H220)</f>
        <v>-1</v>
      </c>
      <c r="O220" s="12"/>
      <c r="P220" s="3">
        <f>--79775.7</f>
        <v>79775.7</v>
      </c>
      <c r="Q220" s="3"/>
      <c r="R220" s="20">
        <f>IF(P$12=0,0,P220/P$12)</f>
        <v>1.5355210571704955E-2</v>
      </c>
      <c r="S220" s="3"/>
      <c r="T220" s="3">
        <f>--171419.76</f>
        <v>171419.76</v>
      </c>
      <c r="U220" s="3"/>
      <c r="V220" s="20">
        <f>IF(T$12=0,0,T220/T$12)</f>
        <v>4.2011778931151121E-2</v>
      </c>
      <c r="W220" s="3"/>
      <c r="X220" s="3">
        <f>+P220-T220</f>
        <v>-91644.060000000012</v>
      </c>
      <c r="Y220" s="3"/>
      <c r="Z220" s="20">
        <f>IF(T220=0,0,X220/T220)</f>
        <v>-0.53461782935642899</v>
      </c>
    </row>
    <row r="221" spans="1:26" ht="15" customHeight="1" x14ac:dyDescent="0.3">
      <c r="A221" s="10"/>
      <c r="B221" s="11"/>
      <c r="C221" s="11"/>
      <c r="D221" s="4"/>
      <c r="E221" s="4"/>
      <c r="F221" s="9"/>
      <c r="G221" s="4"/>
      <c r="H221" s="4"/>
      <c r="I221" s="4"/>
      <c r="J221" s="9"/>
      <c r="K221" s="4"/>
      <c r="L221" s="4"/>
      <c r="M221" s="4"/>
      <c r="N221" s="9"/>
      <c r="O221" s="11"/>
      <c r="P221" s="4"/>
      <c r="Q221" s="4"/>
      <c r="R221" s="9"/>
      <c r="S221" s="4"/>
      <c r="T221" s="4"/>
      <c r="U221" s="4"/>
      <c r="V221" s="9"/>
      <c r="W221" s="4"/>
      <c r="X221" s="4"/>
      <c r="Y221" s="4"/>
      <c r="Z221" s="9"/>
    </row>
    <row r="222" spans="1:26" s="62" customFormat="1" ht="15" customHeight="1" x14ac:dyDescent="0.3">
      <c r="A222" s="11"/>
      <c r="B222" s="28" t="s">
        <v>291</v>
      </c>
      <c r="C222" s="28"/>
      <c r="D222" s="23">
        <f>+D124-D126+D216</f>
        <v>281568.64999999979</v>
      </c>
      <c r="E222" s="15"/>
      <c r="F222" s="22">
        <f>IF(D$12=0,0,D222/D$12)</f>
        <v>0.36160394909313198</v>
      </c>
      <c r="G222" s="15"/>
      <c r="H222" s="23">
        <f>+H124-H126+H216</f>
        <v>33727.47</v>
      </c>
      <c r="I222" s="15"/>
      <c r="J222" s="22">
        <f>IF(H$12=0,0,H222/H$12)</f>
        <v>0.16627610460749509</v>
      </c>
      <c r="K222" s="17"/>
      <c r="L222" s="23">
        <f>+D222-H222</f>
        <v>247841.17999999979</v>
      </c>
      <c r="M222" s="17"/>
      <c r="N222" s="22">
        <f>IF(H222=0,0,L222/H222)</f>
        <v>7.3483478007689218</v>
      </c>
      <c r="O222" s="27"/>
      <c r="P222" s="23">
        <f>+P124-P126+P216</f>
        <v>325418.21000000101</v>
      </c>
      <c r="Q222" s="15"/>
      <c r="R222" s="22">
        <f>IF(P$12=0,0,P222/P$12)</f>
        <v>6.2636431123980346E-2</v>
      </c>
      <c r="S222" s="15"/>
      <c r="T222" s="23">
        <f>+T124-T126+T216</f>
        <v>74932.259999998612</v>
      </c>
      <c r="U222" s="15"/>
      <c r="V222" s="22">
        <f>IF(T$12=0,0,T222/T$12)</f>
        <v>1.8364496263041551E-2</v>
      </c>
      <c r="W222" s="17"/>
      <c r="X222" s="23">
        <f>+P222-T222</f>
        <v>250485.9500000024</v>
      </c>
      <c r="Y222" s="17"/>
      <c r="Z222" s="22">
        <f>IF(T222=0,0,X222/T222)</f>
        <v>3.3428319124500856</v>
      </c>
    </row>
    <row r="223" spans="1:26" ht="15" customHeight="1" x14ac:dyDescent="0.3">
      <c r="A223" s="10"/>
      <c r="B223" s="11"/>
      <c r="C223" s="10"/>
      <c r="D223" s="4"/>
      <c r="E223" s="4"/>
      <c r="F223" s="9"/>
      <c r="G223" s="4"/>
      <c r="H223" s="4"/>
      <c r="I223" s="4"/>
      <c r="J223" s="9"/>
      <c r="K223" s="4"/>
      <c r="L223" s="4"/>
      <c r="M223" s="4"/>
      <c r="N223" s="9"/>
      <c r="P223" s="4"/>
      <c r="Q223" s="4"/>
      <c r="R223" s="9"/>
      <c r="S223" s="4"/>
      <c r="T223" s="4"/>
      <c r="U223" s="4"/>
      <c r="V223" s="9"/>
      <c r="W223" s="4"/>
      <c r="X223" s="4"/>
      <c r="Y223" s="4"/>
      <c r="Z223" s="9"/>
    </row>
    <row r="224" spans="1:26" s="62" customFormat="1" ht="15" customHeight="1" x14ac:dyDescent="0.3">
      <c r="A224" s="48"/>
      <c r="B224" s="11" t="s">
        <v>292</v>
      </c>
      <c r="C224" s="11"/>
      <c r="D224" s="5">
        <v>63872.71</v>
      </c>
      <c r="E224" s="5"/>
      <c r="F224" s="13">
        <f>IF(D$12=0,0,D224/D$12)</f>
        <v>8.2028394053387688E-2</v>
      </c>
      <c r="G224" s="5"/>
      <c r="H224" s="5">
        <v>104183.44</v>
      </c>
      <c r="I224" s="5"/>
      <c r="J224" s="13">
        <f>IF(H$12=0,0,H224/H$12)</f>
        <v>0.51362336302748735</v>
      </c>
      <c r="K224" s="5"/>
      <c r="L224" s="5">
        <f>+D224-H224</f>
        <v>-40310.730000000003</v>
      </c>
      <c r="M224" s="5"/>
      <c r="N224" s="13">
        <f>IF(H224=0,0,L224/H224)</f>
        <v>-0.38692070448048177</v>
      </c>
      <c r="O224" s="11"/>
      <c r="P224" s="5">
        <v>648497.69999999995</v>
      </c>
      <c r="Q224" s="5"/>
      <c r="R224" s="13">
        <f>IF(P$12=0,0,P224/P$12)</f>
        <v>0.12482270589623592</v>
      </c>
      <c r="S224" s="5"/>
      <c r="T224" s="5">
        <v>808041.09</v>
      </c>
      <c r="U224" s="5"/>
      <c r="V224" s="13">
        <f>IF(T$12=0,0,T224/T$12)</f>
        <v>0.19803576694055799</v>
      </c>
      <c r="W224" s="5"/>
      <c r="X224" s="5">
        <f>+P224-T224</f>
        <v>-159543.39000000001</v>
      </c>
      <c r="Y224" s="5"/>
      <c r="Z224" s="13">
        <f>IF(T224=0,0,X224/T224)</f>
        <v>-0.19744464975166054</v>
      </c>
    </row>
    <row r="225" spans="1:26" ht="15" customHeight="1" x14ac:dyDescent="0.3">
      <c r="A225" s="10"/>
      <c r="B225" s="11"/>
      <c r="C225" s="11"/>
      <c r="D225" s="4"/>
      <c r="E225" s="4"/>
      <c r="F225" s="9"/>
      <c r="G225" s="4"/>
      <c r="H225" s="4"/>
      <c r="I225" s="4"/>
      <c r="J225" s="9"/>
      <c r="K225" s="4"/>
      <c r="L225" s="4"/>
      <c r="M225" s="4"/>
      <c r="N225" s="9"/>
      <c r="O225" s="11"/>
      <c r="P225" s="4"/>
      <c r="Q225" s="4"/>
      <c r="R225" s="9"/>
      <c r="S225" s="4"/>
      <c r="T225" s="4"/>
      <c r="U225" s="4"/>
      <c r="V225" s="9"/>
      <c r="W225" s="4"/>
      <c r="X225" s="4"/>
      <c r="Y225" s="4"/>
      <c r="Z225" s="9"/>
    </row>
    <row r="226" spans="1:26" s="62" customFormat="1" ht="15" customHeight="1" x14ac:dyDescent="0.3">
      <c r="A226" s="11"/>
      <c r="B226" s="28" t="s">
        <v>293</v>
      </c>
      <c r="C226" s="28"/>
      <c r="D226" s="33">
        <f>+D222-D224</f>
        <v>217695.9399999998</v>
      </c>
      <c r="E226" s="15"/>
      <c r="F226" s="34">
        <f>IF(D$12=0,0,D226/D$12)</f>
        <v>0.27957555503974429</v>
      </c>
      <c r="G226" s="15"/>
      <c r="H226" s="33">
        <f>+H222-H224</f>
        <v>-70455.97</v>
      </c>
      <c r="I226" s="15"/>
      <c r="J226" s="34">
        <f>IF(H$12=0,0,H226/H$12)</f>
        <v>-0.34734725841999226</v>
      </c>
      <c r="K226" s="17"/>
      <c r="L226" s="33">
        <f>D226-H226</f>
        <v>288151.9099999998</v>
      </c>
      <c r="M226" s="17"/>
      <c r="N226" s="34">
        <f>IF(H226=0,0,L226/H226)</f>
        <v>-4.089815383990878</v>
      </c>
      <c r="O226" s="27"/>
      <c r="P226" s="33">
        <f>+P222-P224</f>
        <v>-323079.48999999894</v>
      </c>
      <c r="Q226" s="15"/>
      <c r="R226" s="34">
        <f>IF(P$12=0,0,P226/P$12)</f>
        <v>-6.2186274772255579E-2</v>
      </c>
      <c r="S226" s="15"/>
      <c r="T226" s="33">
        <f>+T222-T224</f>
        <v>-733108.83000000136</v>
      </c>
      <c r="U226" s="15"/>
      <c r="V226" s="34">
        <f>IF(T$12=0,0,T226/T$12)</f>
        <v>-0.17967127067751645</v>
      </c>
      <c r="W226" s="17"/>
      <c r="X226" s="33">
        <f>P226-T226</f>
        <v>410029.34000000241</v>
      </c>
      <c r="Y226" s="17"/>
      <c r="Z226" s="34">
        <f>IF(T226=0,0,X226/T226)</f>
        <v>-0.55930214344847229</v>
      </c>
    </row>
    <row r="227" spans="1:26" ht="15" customHeight="1" x14ac:dyDescent="0.3">
      <c r="A227" s="10"/>
      <c r="B227" s="10"/>
      <c r="C227" s="10"/>
      <c r="D227" s="4"/>
      <c r="E227" s="4"/>
      <c r="F227" s="9"/>
      <c r="G227" s="4"/>
      <c r="H227" s="4"/>
      <c r="I227" s="4"/>
      <c r="J227" s="9"/>
      <c r="K227" s="4"/>
      <c r="L227" s="4"/>
      <c r="M227" s="4"/>
      <c r="N227" s="9"/>
      <c r="P227" s="4"/>
      <c r="Q227" s="4"/>
      <c r="R227" s="9"/>
      <c r="S227" s="4"/>
      <c r="T227" s="4"/>
      <c r="U227" s="4"/>
      <c r="V227" s="9"/>
      <c r="W227" s="4"/>
      <c r="X227" s="4"/>
      <c r="Y227" s="4"/>
      <c r="Z227" s="9"/>
    </row>
    <row r="228" spans="1:26" ht="15" customHeight="1" x14ac:dyDescent="0.3">
      <c r="A228" s="10"/>
      <c r="B228" s="10"/>
      <c r="C228" s="10"/>
      <c r="D228" s="4"/>
      <c r="E228" s="4"/>
      <c r="F228" s="9"/>
      <c r="G228" s="4"/>
      <c r="H228" s="4"/>
      <c r="I228" s="4"/>
      <c r="J228" s="9"/>
      <c r="K228" s="4"/>
      <c r="L228" s="4"/>
      <c r="M228" s="4"/>
      <c r="N228" s="9"/>
      <c r="P228" s="4"/>
      <c r="Q228" s="4"/>
      <c r="R228" s="9"/>
      <c r="S228" s="4"/>
      <c r="T228" s="4"/>
      <c r="U228" s="4"/>
      <c r="V228" s="9"/>
      <c r="W228" s="4"/>
      <c r="X228" s="4"/>
      <c r="Y228" s="4"/>
      <c r="Z228" s="9"/>
    </row>
    <row r="229" spans="1:26" s="62" customFormat="1" ht="15" customHeight="1" x14ac:dyDescent="0.3">
      <c r="A229" s="11"/>
      <c r="B229" s="28" t="s">
        <v>296</v>
      </c>
      <c r="C229" s="28"/>
      <c r="D229" s="35">
        <f>SUM(D226:D228)</f>
        <v>217695.9399999998</v>
      </c>
      <c r="E229" s="15"/>
      <c r="F229" s="29">
        <f>IF(D$12=0,0,D229/D$12)</f>
        <v>0.27957555503974429</v>
      </c>
      <c r="G229" s="15"/>
      <c r="H229" s="35">
        <f>SUM(H226:H228)</f>
        <v>-70455.97</v>
      </c>
      <c r="I229" s="15"/>
      <c r="J229" s="29">
        <f>IF(H$12=0,0,H229/H$12)</f>
        <v>-0.34734725841999226</v>
      </c>
      <c r="K229" s="17"/>
      <c r="L229" s="35">
        <f>+D229-H229</f>
        <v>288151.9099999998</v>
      </c>
      <c r="M229" s="17"/>
      <c r="N229" s="29">
        <f>IF(H229=0,0,L229/H229)</f>
        <v>-4.089815383990878</v>
      </c>
      <c r="O229" s="27"/>
      <c r="P229" s="35">
        <f>SUM(P226:P228)</f>
        <v>-323079.48999999894</v>
      </c>
      <c r="Q229" s="15"/>
      <c r="R229" s="29">
        <f>IF(P$12=0,0,P229/P$12)</f>
        <v>-6.2186274772255579E-2</v>
      </c>
      <c r="S229" s="15"/>
      <c r="T229" s="35">
        <f>SUM(T226:T228)</f>
        <v>-733108.83000000136</v>
      </c>
      <c r="U229" s="15"/>
      <c r="V229" s="29">
        <f>IF(T$12=0,0,T229/T$12)</f>
        <v>-0.17967127067751645</v>
      </c>
      <c r="W229" s="17"/>
      <c r="X229" s="35">
        <f>+P229-T229</f>
        <v>410029.34000000241</v>
      </c>
      <c r="Y229" s="17"/>
      <c r="Z229" s="29">
        <f>IF(T229=0,0,X229/T229)</f>
        <v>-0.55930214344847229</v>
      </c>
    </row>
    <row r="230" spans="1:26" ht="15" customHeight="1" x14ac:dyDescent="0.3">
      <c r="A230" s="10"/>
      <c r="C230" s="10"/>
      <c r="D230" s="18"/>
      <c r="E230" s="18"/>
      <c r="G230" s="18"/>
      <c r="H230" s="18"/>
      <c r="I230" s="18"/>
      <c r="J230" s="41"/>
      <c r="K230" s="18"/>
      <c r="L230" s="18"/>
      <c r="M230" s="18"/>
      <c r="P230" s="18"/>
      <c r="Q230" s="18"/>
      <c r="R230" s="41"/>
      <c r="S230" s="18"/>
      <c r="T230" s="18"/>
      <c r="U230" s="18"/>
      <c r="V230" s="41"/>
      <c r="W230" s="18"/>
      <c r="X230" s="18"/>
    </row>
    <row r="231" spans="1:26" ht="15" customHeight="1" x14ac:dyDescent="0.3">
      <c r="A231" s="10"/>
      <c r="B231" s="50">
        <v>44634.887730983799</v>
      </c>
      <c r="D231" s="18"/>
      <c r="E231" s="18"/>
      <c r="G231" s="18"/>
      <c r="H231" s="18"/>
      <c r="I231" s="18"/>
      <c r="J231" s="41"/>
      <c r="K231" s="18"/>
      <c r="L231" s="18"/>
      <c r="M231" s="18"/>
      <c r="P231" s="18"/>
      <c r="Q231" s="18"/>
      <c r="R231" s="41"/>
      <c r="S231" s="18"/>
      <c r="T231" s="18"/>
      <c r="U231" s="18"/>
      <c r="V231" s="41"/>
      <c r="W231" s="18"/>
      <c r="X231" s="18"/>
    </row>
    <row r="232" spans="1:26" ht="15" customHeight="1" x14ac:dyDescent="0.3">
      <c r="A232" s="10"/>
      <c r="B232" s="58" t="s">
        <v>297</v>
      </c>
      <c r="D232" s="18"/>
      <c r="E232" s="18"/>
      <c r="G232" s="18"/>
      <c r="H232" s="18"/>
      <c r="I232" s="18"/>
      <c r="J232" s="41"/>
      <c r="K232" s="18"/>
      <c r="L232" s="18"/>
      <c r="M232" s="18"/>
      <c r="P232" s="18"/>
      <c r="Q232" s="18"/>
      <c r="R232" s="41"/>
      <c r="S232" s="18"/>
      <c r="T232" s="18"/>
      <c r="U232" s="18"/>
      <c r="V232" s="41"/>
      <c r="W232" s="18"/>
      <c r="X232" s="18"/>
    </row>
    <row r="233" spans="1:26" ht="15" customHeight="1" x14ac:dyDescent="0.3">
      <c r="A233" s="10"/>
      <c r="B233" s="56"/>
      <c r="D233" s="18"/>
      <c r="E233" s="18"/>
      <c r="G233" s="18"/>
      <c r="H233" s="18"/>
      <c r="I233" s="18"/>
      <c r="J233" s="41"/>
      <c r="K233" s="18"/>
      <c r="L233" s="18"/>
      <c r="M233" s="18"/>
      <c r="P233" s="18"/>
      <c r="Q233" s="18"/>
      <c r="R233" s="41"/>
      <c r="S233" s="18"/>
      <c r="T233" s="18"/>
      <c r="U233" s="18"/>
      <c r="V233" s="41"/>
      <c r="W233" s="18"/>
      <c r="X233" s="18"/>
    </row>
    <row r="234" spans="1:26" ht="15" customHeight="1" x14ac:dyDescent="0.3">
      <c r="D234" s="18"/>
      <c r="E234" s="18"/>
      <c r="G234" s="18"/>
      <c r="H234" s="18"/>
      <c r="I234" s="18"/>
      <c r="J234" s="41"/>
      <c r="K234" s="18"/>
      <c r="L234" s="18"/>
      <c r="M234" s="18"/>
      <c r="P234" s="18"/>
      <c r="Q234" s="18"/>
      <c r="R234" s="41"/>
      <c r="S234" s="18"/>
      <c r="T234" s="18"/>
      <c r="U234" s="18"/>
      <c r="V234" s="41"/>
      <c r="W234" s="18"/>
      <c r="X234" s="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4033-9A03-1FDB-ED3B-692681E0692D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278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8EA3-62FD-6137-8F27-5476775B76D6}">
  <sheetPr>
    <tabColor theme="5" tint="0.39997558519241921"/>
    <outlinePr summaryBelow="0" summaryRight="0"/>
  </sheetPr>
  <dimension ref="A2:Z25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950015.09000000008</v>
      </c>
      <c r="E12" s="5"/>
      <c r="F12" s="13"/>
      <c r="G12" s="5"/>
      <c r="H12" s="5">
        <f>SUM(OSRRefH13x_0)</f>
        <v>388775.0199999999</v>
      </c>
      <c r="I12" s="5"/>
      <c r="J12" s="13"/>
      <c r="K12" s="5"/>
      <c r="L12" s="5">
        <f t="shared" ref="L12:L43" si="0">+D12-H12</f>
        <v>561240.07000000018</v>
      </c>
      <c r="M12" s="5"/>
      <c r="N12" s="13">
        <f t="shared" ref="N12:N43" si="1">IF(H12=0,0,L12/H12)</f>
        <v>1.44361144911008</v>
      </c>
      <c r="O12" s="11"/>
      <c r="P12" s="5">
        <f>SUM(OSRRefP13x_0)</f>
        <v>6489126.7700000005</v>
      </c>
      <c r="Q12" s="5"/>
      <c r="R12" s="13"/>
      <c r="S12" s="5"/>
      <c r="T12" s="5">
        <f>SUM(OSRRefT13x_0)</f>
        <v>5670749.7400000012</v>
      </c>
      <c r="U12" s="5"/>
      <c r="V12" s="13"/>
      <c r="W12" s="5"/>
      <c r="X12" s="5">
        <f t="shared" ref="X12:X43" si="2">+P12-T12</f>
        <v>818377.02999999933</v>
      </c>
      <c r="Y12" s="5"/>
      <c r="Z12" s="13">
        <f t="shared" ref="Z12:Z43" si="3">IF(T12=0,0,X12/T12)</f>
        <v>0.1443154904592914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--785767.42</f>
        <v>785767.42</v>
      </c>
      <c r="E13" s="3"/>
      <c r="F13" s="20"/>
      <c r="G13" s="3"/>
      <c r="H13" s="3">
        <f>-7402.1</f>
        <v>-7402.1</v>
      </c>
      <c r="I13" s="3"/>
      <c r="J13" s="20"/>
      <c r="K13" s="3"/>
      <c r="L13" s="3">
        <f t="shared" si="0"/>
        <v>793169.52</v>
      </c>
      <c r="M13" s="3"/>
      <c r="N13" s="20">
        <f t="shared" si="1"/>
        <v>-107.15466151497547</v>
      </c>
      <c r="O13" s="12"/>
      <c r="P13" s="3">
        <f>--5463118.09</f>
        <v>5463118.0899999999</v>
      </c>
      <c r="Q13" s="3"/>
      <c r="R13" s="20"/>
      <c r="S13" s="3"/>
      <c r="T13" s="3">
        <f>-111058.09</f>
        <v>-111058.09</v>
      </c>
      <c r="U13" s="3"/>
      <c r="V13" s="20"/>
      <c r="W13" s="3"/>
      <c r="X13" s="3">
        <f t="shared" si="2"/>
        <v>5574176.1799999997</v>
      </c>
      <c r="Y13" s="3"/>
      <c r="Z13" s="20">
        <f t="shared" si="3"/>
        <v>-50.191536519311647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--34627.67</f>
        <v>34627.67</v>
      </c>
      <c r="I14" s="3"/>
      <c r="J14" s="20"/>
      <c r="K14" s="3"/>
      <c r="L14" s="3">
        <f t="shared" si="0"/>
        <v>-34627.67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--1224724.01</f>
        <v>1224724.01</v>
      </c>
      <c r="U14" s="3"/>
      <c r="V14" s="20"/>
      <c r="W14" s="3"/>
      <c r="X14" s="3">
        <f t="shared" si="2"/>
        <v>-1224724.01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--12732.98</f>
        <v>12732.98</v>
      </c>
      <c r="I15" s="3"/>
      <c r="J15" s="20"/>
      <c r="K15" s="3"/>
      <c r="L15" s="3">
        <f t="shared" si="0"/>
        <v>-12732.98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--575134.48</f>
        <v>575134.48</v>
      </c>
      <c r="U15" s="3"/>
      <c r="V15" s="20"/>
      <c r="W15" s="3"/>
      <c r="X15" s="3">
        <f t="shared" si="2"/>
        <v>-575134.48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--41.38</f>
        <v>41.38</v>
      </c>
      <c r="I21" s="3"/>
      <c r="J21" s="20"/>
      <c r="K21" s="3"/>
      <c r="L21" s="3">
        <f t="shared" si="0"/>
        <v>-41.38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--448.38</f>
        <v>448.38</v>
      </c>
      <c r="U21" s="3"/>
      <c r="V21" s="20"/>
      <c r="W21" s="3"/>
      <c r="X21" s="3">
        <f t="shared" si="2"/>
        <v>-448.38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--5808.1</f>
        <v>5808.1</v>
      </c>
      <c r="I22" s="3"/>
      <c r="J22" s="20"/>
      <c r="K22" s="3"/>
      <c r="L22" s="3">
        <f t="shared" si="0"/>
        <v>-5808.1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--54484.32</f>
        <v>54484.32</v>
      </c>
      <c r="U22" s="3"/>
      <c r="V22" s="20"/>
      <c r="W22" s="3"/>
      <c r="X22" s="3">
        <f t="shared" si="2"/>
        <v>-54484.32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--1924.8</f>
        <v>1924.8</v>
      </c>
      <c r="I23" s="3"/>
      <c r="J23" s="20"/>
      <c r="K23" s="3"/>
      <c r="L23" s="3">
        <f t="shared" si="0"/>
        <v>-1924.8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--40876.62</f>
        <v>40876.620000000003</v>
      </c>
      <c r="U23" s="3"/>
      <c r="V23" s="20"/>
      <c r="W23" s="3"/>
      <c r="X23" s="3">
        <f t="shared" si="2"/>
        <v>-40876.620000000003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--593.6</f>
        <v>593.6</v>
      </c>
      <c r="I24" s="3"/>
      <c r="J24" s="20"/>
      <c r="K24" s="3"/>
      <c r="L24" s="3">
        <f t="shared" si="0"/>
        <v>-593.6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--3180.84</f>
        <v>3180.84</v>
      </c>
      <c r="U24" s="3"/>
      <c r="V24" s="20"/>
      <c r="W24" s="3"/>
      <c r="X24" s="3">
        <f t="shared" si="2"/>
        <v>-3180.84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--73245.08</f>
        <v>73245.08</v>
      </c>
      <c r="I26" s="3"/>
      <c r="J26" s="20"/>
      <c r="K26" s="3"/>
      <c r="L26" s="3">
        <f t="shared" si="0"/>
        <v>-73245.08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--671347.98</f>
        <v>671347.98</v>
      </c>
      <c r="U26" s="3"/>
      <c r="V26" s="20"/>
      <c r="W26" s="3"/>
      <c r="X26" s="3">
        <f t="shared" si="2"/>
        <v>-671347.98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--27100.04</f>
        <v>27100.04</v>
      </c>
      <c r="I27" s="3"/>
      <c r="J27" s="20"/>
      <c r="K27" s="3"/>
      <c r="L27" s="3">
        <f t="shared" si="0"/>
        <v>-27100.04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--276199.31</f>
        <v>276199.31</v>
      </c>
      <c r="U27" s="3"/>
      <c r="V27" s="20"/>
      <c r="W27" s="3"/>
      <c r="X27" s="3">
        <f t="shared" si="2"/>
        <v>-276199.31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--4794.04</f>
        <v>4794.04</v>
      </c>
      <c r="I28" s="3"/>
      <c r="J28" s="20"/>
      <c r="K28" s="3"/>
      <c r="L28" s="3">
        <f t="shared" si="0"/>
        <v>-4794.04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--78994.92</f>
        <v>78994.92</v>
      </c>
      <c r="U28" s="3"/>
      <c r="V28" s="20"/>
      <c r="W28" s="3"/>
      <c r="X28" s="3">
        <f t="shared" si="2"/>
        <v>-78994.92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--6195.85</f>
        <v>6195.85</v>
      </c>
      <c r="I29" s="3"/>
      <c r="J29" s="20"/>
      <c r="K29" s="3"/>
      <c r="L29" s="3">
        <f t="shared" si="0"/>
        <v>-6195.85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--124150.66</f>
        <v>124150.66</v>
      </c>
      <c r="U29" s="3"/>
      <c r="V29" s="20"/>
      <c r="W29" s="3"/>
      <c r="X29" s="3">
        <f t="shared" si="2"/>
        <v>-124150.66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--2036.78</f>
        <v>2036.78</v>
      </c>
      <c r="I30" s="3"/>
      <c r="J30" s="20"/>
      <c r="K30" s="3"/>
      <c r="L30" s="3">
        <f t="shared" si="0"/>
        <v>-2036.78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--29572.4</f>
        <v>29572.400000000001</v>
      </c>
      <c r="U30" s="3"/>
      <c r="V30" s="20"/>
      <c r="W30" s="3"/>
      <c r="X30" s="3">
        <f t="shared" si="2"/>
        <v>-29572.400000000001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--10039.9</f>
        <v>10039.9</v>
      </c>
      <c r="I31" s="3"/>
      <c r="J31" s="20"/>
      <c r="K31" s="3"/>
      <c r="L31" s="3">
        <f t="shared" si="0"/>
        <v>-10039.9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--135489.57</f>
        <v>135489.57</v>
      </c>
      <c r="U31" s="3"/>
      <c r="V31" s="20"/>
      <c r="W31" s="3"/>
      <c r="X31" s="3">
        <f t="shared" si="2"/>
        <v>-135489.57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--64.79</f>
        <v>64.790000000000006</v>
      </c>
      <c r="I32" s="3"/>
      <c r="J32" s="20"/>
      <c r="K32" s="3"/>
      <c r="L32" s="3">
        <f t="shared" si="0"/>
        <v>-64.790000000000006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--59334.8</f>
        <v>59334.8</v>
      </c>
      <c r="U32" s="3"/>
      <c r="V32" s="20"/>
      <c r="W32" s="3"/>
      <c r="X32" s="3">
        <f t="shared" si="2"/>
        <v>-59334.8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","4082"," - ","TAXABLE SALES-COMPUTER HARDWAR")</f>
        <v xml:space="preserve">          4082 - TAXABLE SALES-COMPUTER HARDWAR</v>
      </c>
      <c r="C33" s="12"/>
      <c r="D33" s="3">
        <f>0</f>
        <v>0</v>
      </c>
      <c r="E33" s="3"/>
      <c r="F33" s="20"/>
      <c r="G33" s="3"/>
      <c r="H33" s="3">
        <f>--165815.3</f>
        <v>165815.29999999999</v>
      </c>
      <c r="I33" s="3"/>
      <c r="J33" s="20"/>
      <c r="K33" s="3"/>
      <c r="L33" s="3">
        <f t="shared" si="0"/>
        <v>-165815.29999999999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--1250838.47</f>
        <v>1250838.47</v>
      </c>
      <c r="U33" s="3"/>
      <c r="V33" s="20"/>
      <c r="W33" s="3"/>
      <c r="X33" s="3">
        <f t="shared" si="2"/>
        <v>-1250838.47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","4083"," - ","TAXABLE SALES-COMPUTER EQUIPME")</f>
        <v xml:space="preserve">          4083 - TAXABLE SALES-COMPUTER EQUIPME</v>
      </c>
      <c r="C34" s="12"/>
      <c r="D34" s="3">
        <f>0</f>
        <v>0</v>
      </c>
      <c r="E34" s="3"/>
      <c r="F34" s="20"/>
      <c r="G34" s="3"/>
      <c r="H34" s="3">
        <f>--3521.24</f>
        <v>3521.24</v>
      </c>
      <c r="I34" s="3"/>
      <c r="J34" s="20"/>
      <c r="K34" s="3"/>
      <c r="L34" s="3">
        <f t="shared" si="0"/>
        <v>-3521.24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--96808.82</f>
        <v>96808.82</v>
      </c>
      <c r="U34" s="3"/>
      <c r="V34" s="20"/>
      <c r="W34" s="3"/>
      <c r="X34" s="3">
        <f t="shared" si="2"/>
        <v>-96808.82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","4085"," - ","TAXABLE SALES-SOFTWARE")</f>
        <v xml:space="preserve">          4085 - TAXABLE SALES-SOFTWARE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--2878.93</f>
        <v>2878.93</v>
      </c>
      <c r="U35" s="3"/>
      <c r="V35" s="20"/>
      <c r="W35" s="3"/>
      <c r="X35" s="3">
        <f t="shared" si="2"/>
        <v>-2878.93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","4086"," - ","TAXABLE SALES-COMPUTER SUPPLIE")</f>
        <v xml:space="preserve">          4086 - TAXABLE SALES-COMPUTER SUPPLIE</v>
      </c>
      <c r="C36" s="12"/>
      <c r="D36" s="3">
        <f>0</f>
        <v>0</v>
      </c>
      <c r="E36" s="3"/>
      <c r="F36" s="20"/>
      <c r="G36" s="3"/>
      <c r="H36" s="3">
        <f>--1077.33</f>
        <v>1077.33</v>
      </c>
      <c r="I36" s="3"/>
      <c r="J36" s="20"/>
      <c r="K36" s="3"/>
      <c r="L36" s="3">
        <f t="shared" si="0"/>
        <v>-1077.33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--58947.17</f>
        <v>58947.17</v>
      </c>
      <c r="U36" s="3"/>
      <c r="V36" s="20"/>
      <c r="W36" s="3"/>
      <c r="X36" s="3">
        <f t="shared" si="2"/>
        <v>-58947.17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--139.85</f>
        <v>139.85</v>
      </c>
      <c r="I37" s="3"/>
      <c r="J37" s="20"/>
      <c r="K37" s="3"/>
      <c r="L37" s="3">
        <f t="shared" si="0"/>
        <v>-139.85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--139.85</f>
        <v>139.85</v>
      </c>
      <c r="U37" s="3"/>
      <c r="V37" s="20"/>
      <c r="W37" s="3"/>
      <c r="X37" s="3">
        <f t="shared" si="2"/>
        <v>-139.85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--224174.02</f>
        <v>224174.02</v>
      </c>
      <c r="E38" s="3"/>
      <c r="F38" s="20"/>
      <c r="G38" s="3"/>
      <c r="H38" s="3">
        <f>--5617.7</f>
        <v>5617.7</v>
      </c>
      <c r="I38" s="3"/>
      <c r="J38" s="20"/>
      <c r="K38" s="3"/>
      <c r="L38" s="3">
        <f t="shared" si="0"/>
        <v>218556.31999999998</v>
      </c>
      <c r="M38" s="3"/>
      <c r="N38" s="20">
        <f t="shared" si="1"/>
        <v>38.904946864375098</v>
      </c>
      <c r="O38" s="12"/>
      <c r="P38" s="3">
        <f>--1497407.53</f>
        <v>1497407.53</v>
      </c>
      <c r="Q38" s="3"/>
      <c r="R38" s="20"/>
      <c r="S38" s="3"/>
      <c r="T38" s="3">
        <f>--284173.56</f>
        <v>284173.56</v>
      </c>
      <c r="U38" s="3"/>
      <c r="V38" s="20"/>
      <c r="W38" s="3"/>
      <c r="X38" s="3">
        <f t="shared" si="2"/>
        <v>1213233.97</v>
      </c>
      <c r="Y38" s="3"/>
      <c r="Z38" s="20">
        <f t="shared" si="3"/>
        <v>4.2693414897571751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--6785.91</f>
        <v>6785.91</v>
      </c>
      <c r="I39" s="3"/>
      <c r="J39" s="20"/>
      <c r="K39" s="3"/>
      <c r="L39" s="3">
        <f t="shared" si="0"/>
        <v>-6785.91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--111011.54</f>
        <v>111011.54</v>
      </c>
      <c r="U39" s="3"/>
      <c r="V39" s="20"/>
      <c r="W39" s="3"/>
      <c r="X39" s="3">
        <f t="shared" si="2"/>
        <v>-111011.54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--3426.05</f>
        <v>3426.05</v>
      </c>
      <c r="I40" s="3"/>
      <c r="J40" s="20"/>
      <c r="K40" s="3"/>
      <c r="L40" s="3">
        <f t="shared" si="0"/>
        <v>-3426.05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--46387.37</f>
        <v>46387.37</v>
      </c>
      <c r="U40" s="3"/>
      <c r="V40" s="20"/>
      <c r="W40" s="3"/>
      <c r="X40" s="3">
        <f t="shared" si="2"/>
        <v>-46387.37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--17705.92</f>
        <v>17705.919999999998</v>
      </c>
      <c r="I42" s="3"/>
      <c r="J42" s="20"/>
      <c r="K42" s="3"/>
      <c r="L42" s="3">
        <f t="shared" si="0"/>
        <v>-17705.919999999998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--475874.05</f>
        <v>475874.05</v>
      </c>
      <c r="U42" s="3"/>
      <c r="V42" s="20"/>
      <c r="W42" s="3"/>
      <c r="X42" s="3">
        <f t="shared" si="2"/>
        <v>-475874.05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--3150</f>
        <v>3150</v>
      </c>
      <c r="I43" s="3"/>
      <c r="J43" s="20"/>
      <c r="K43" s="3"/>
      <c r="L43" s="3">
        <f t="shared" si="0"/>
        <v>-3150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--10139.25</f>
        <v>10139.25</v>
      </c>
      <c r="U43" s="3"/>
      <c r="V43" s="20"/>
      <c r="W43" s="3"/>
      <c r="X43" s="3">
        <f t="shared" si="2"/>
        <v>-10139.25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--472.19</f>
        <v>472.19</v>
      </c>
      <c r="I46" s="3"/>
      <c r="J46" s="20"/>
      <c r="K46" s="3"/>
      <c r="L46" s="3">
        <f t="shared" si="4"/>
        <v>-472.19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--6217.36</f>
        <v>6217.36</v>
      </c>
      <c r="U46" s="3"/>
      <c r="V46" s="20"/>
      <c r="W46" s="3"/>
      <c r="X46" s="3">
        <f t="shared" si="6"/>
        <v>-6217.36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--9.08</f>
        <v>9.08</v>
      </c>
      <c r="I47" s="3"/>
      <c r="J47" s="20"/>
      <c r="K47" s="3"/>
      <c r="L47" s="3">
        <f t="shared" si="4"/>
        <v>-9.08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--38.58</f>
        <v>38.58</v>
      </c>
      <c r="U47" s="3"/>
      <c r="V47" s="20"/>
      <c r="W47" s="3"/>
      <c r="X47" s="3">
        <f t="shared" si="6"/>
        <v>-38.58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--934.88</f>
        <v>934.88</v>
      </c>
      <c r="I48" s="3"/>
      <c r="J48" s="20"/>
      <c r="K48" s="3"/>
      <c r="L48" s="3">
        <f t="shared" si="4"/>
        <v>-934.88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--9575.15</f>
        <v>9575.15</v>
      </c>
      <c r="U48" s="3"/>
      <c r="V48" s="20"/>
      <c r="W48" s="3"/>
      <c r="X48" s="3">
        <f t="shared" si="6"/>
        <v>-9575.15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--22.49</f>
        <v>22.49</v>
      </c>
      <c r="U49" s="3"/>
      <c r="V49" s="20"/>
      <c r="W49" s="3"/>
      <c r="X49" s="3">
        <f t="shared" si="6"/>
        <v>-22.49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--1947.86</f>
        <v>1947.86</v>
      </c>
      <c r="I53" s="3"/>
      <c r="J53" s="20"/>
      <c r="K53" s="3"/>
      <c r="L53" s="3">
        <f t="shared" si="4"/>
        <v>-1947.86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--115125.28</f>
        <v>115125.28</v>
      </c>
      <c r="U53" s="3"/>
      <c r="V53" s="20"/>
      <c r="W53" s="3"/>
      <c r="X53" s="3">
        <f t="shared" si="6"/>
        <v>-115125.28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--671.25</f>
        <v>671.25</v>
      </c>
      <c r="I54" s="3"/>
      <c r="J54" s="20"/>
      <c r="K54" s="3"/>
      <c r="L54" s="3">
        <f t="shared" si="4"/>
        <v>-671.25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--8513.02</f>
        <v>8513.02</v>
      </c>
      <c r="U54" s="3"/>
      <c r="V54" s="20"/>
      <c r="W54" s="3"/>
      <c r="X54" s="3">
        <f t="shared" si="6"/>
        <v>-8513.02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--4.58</f>
        <v>4.58</v>
      </c>
      <c r="I55" s="3"/>
      <c r="J55" s="20"/>
      <c r="K55" s="3"/>
      <c r="L55" s="3">
        <f t="shared" si="4"/>
        <v>-4.58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--2264.47</f>
        <v>2264.4699999999998</v>
      </c>
      <c r="U55" s="3"/>
      <c r="V55" s="20"/>
      <c r="W55" s="3"/>
      <c r="X55" s="3">
        <f t="shared" si="6"/>
        <v>-2264.4699999999998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--149.92</f>
        <v>149.91999999999999</v>
      </c>
      <c r="I56" s="3"/>
      <c r="J56" s="20"/>
      <c r="K56" s="3"/>
      <c r="L56" s="3">
        <f t="shared" si="4"/>
        <v>-149.91999999999999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--2119.66</f>
        <v>2119.66</v>
      </c>
      <c r="U56" s="3"/>
      <c r="V56" s="20"/>
      <c r="W56" s="3"/>
      <c r="X56" s="3">
        <f t="shared" si="6"/>
        <v>-2119.66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--39.95</f>
        <v>39.950000000000003</v>
      </c>
      <c r="I57" s="3"/>
      <c r="J57" s="20"/>
      <c r="K57" s="3"/>
      <c r="L57" s="3">
        <f t="shared" si="4"/>
        <v>-39.950000000000003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--649.35</f>
        <v>649.35</v>
      </c>
      <c r="U57" s="3"/>
      <c r="V57" s="20"/>
      <c r="W57" s="3"/>
      <c r="X57" s="3">
        <f t="shared" si="6"/>
        <v>-649.35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--53716.09</f>
        <v>53716.09</v>
      </c>
      <c r="U58" s="3"/>
      <c r="V58" s="20"/>
      <c r="W58" s="3"/>
      <c r="X58" s="3">
        <f t="shared" si="6"/>
        <v>-53716.09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--67.8</f>
        <v>67.8</v>
      </c>
      <c r="I59" s="3"/>
      <c r="J59" s="20"/>
      <c r="K59" s="3"/>
      <c r="L59" s="3">
        <f t="shared" si="4"/>
        <v>-67.8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--208.4</f>
        <v>208.4</v>
      </c>
      <c r="U59" s="3"/>
      <c r="V59" s="20"/>
      <c r="W59" s="3"/>
      <c r="X59" s="3">
        <f t="shared" si="6"/>
        <v>-208.4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--17</f>
        <v>17</v>
      </c>
      <c r="I60" s="3"/>
      <c r="J60" s="20"/>
      <c r="K60" s="3"/>
      <c r="L60" s="3">
        <f t="shared" si="4"/>
        <v>-17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--132.5</f>
        <v>132.5</v>
      </c>
      <c r="U60" s="3"/>
      <c r="V60" s="20"/>
      <c r="W60" s="3"/>
      <c r="X60" s="3">
        <f t="shared" si="6"/>
        <v>-132.5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","4181"," - ","NON-TAXABLE SALES-ELECTRONICS")</f>
        <v xml:space="preserve">          4181 - NON-TAXABLE SALES-ELECTRONICS</v>
      </c>
      <c r="C61" s="12"/>
      <c r="D61" s="3">
        <f>0</f>
        <v>0</v>
      </c>
      <c r="E61" s="3"/>
      <c r="F61" s="20"/>
      <c r="G61" s="3"/>
      <c r="H61" s="3">
        <f>--6619.94</f>
        <v>6619.94</v>
      </c>
      <c r="I61" s="3"/>
      <c r="J61" s="20"/>
      <c r="K61" s="3"/>
      <c r="L61" s="3">
        <f t="shared" si="4"/>
        <v>-6619.94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--12192.66</f>
        <v>12192.66</v>
      </c>
      <c r="U61" s="3"/>
      <c r="V61" s="20"/>
      <c r="W61" s="3"/>
      <c r="X61" s="3">
        <f t="shared" si="6"/>
        <v>-12192.66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","4182"," - ","NON-TAXABLE SALES-COMPUTER HAR")</f>
        <v xml:space="preserve">          4182 - NON-TAXABLE SALES-COMPUTER HAR</v>
      </c>
      <c r="C62" s="12"/>
      <c r="D62" s="3">
        <f>0</f>
        <v>0</v>
      </c>
      <c r="E62" s="3"/>
      <c r="F62" s="20"/>
      <c r="G62" s="3"/>
      <c r="H62" s="3">
        <f>--33247.79</f>
        <v>33247.79</v>
      </c>
      <c r="I62" s="3"/>
      <c r="J62" s="20"/>
      <c r="K62" s="3"/>
      <c r="L62" s="3">
        <f t="shared" si="4"/>
        <v>-33247.79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--219646.99</f>
        <v>219646.99</v>
      </c>
      <c r="U62" s="3"/>
      <c r="V62" s="20"/>
      <c r="W62" s="3"/>
      <c r="X62" s="3">
        <f t="shared" si="6"/>
        <v>-219646.99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","4183"," - ","NON-TAXABLE SALES-COMPUTER EQU")</f>
        <v xml:space="preserve">          4183 - NON-TAXABLE SALES-COMPUTER EQU</v>
      </c>
      <c r="C63" s="12"/>
      <c r="D63" s="3">
        <f>0</f>
        <v>0</v>
      </c>
      <c r="E63" s="3"/>
      <c r="F63" s="20"/>
      <c r="G63" s="3"/>
      <c r="H63" s="3">
        <f>--3104.68</f>
        <v>3104.68</v>
      </c>
      <c r="I63" s="3"/>
      <c r="J63" s="20"/>
      <c r="K63" s="3"/>
      <c r="L63" s="3">
        <f t="shared" si="4"/>
        <v>-3104.68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--13622.82</f>
        <v>13622.82</v>
      </c>
      <c r="U63" s="3"/>
      <c r="V63" s="20"/>
      <c r="W63" s="3"/>
      <c r="X63" s="3">
        <f t="shared" si="6"/>
        <v>-13622.82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","4185"," - ","NON-TAXABLE SALES-SOFTWARE")</f>
        <v xml:space="preserve">          4185 - NON-TAXABLE SALES-SOFTWARE</v>
      </c>
      <c r="C64" s="12"/>
      <c r="D64" s="3">
        <f>0</f>
        <v>0</v>
      </c>
      <c r="E64" s="3"/>
      <c r="F64" s="20"/>
      <c r="G64" s="3"/>
      <c r="H64" s="3">
        <f>--5296.67</f>
        <v>5296.67</v>
      </c>
      <c r="I64" s="3"/>
      <c r="J64" s="20"/>
      <c r="K64" s="3"/>
      <c r="L64" s="3">
        <f t="shared" si="4"/>
        <v>-5296.67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--35127.19</f>
        <v>35127.19</v>
      </c>
      <c r="U64" s="3"/>
      <c r="V64" s="20"/>
      <c r="W64" s="3"/>
      <c r="X64" s="3">
        <f t="shared" si="6"/>
        <v>-35127.19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","4186"," - ","NON-TAXABLE SALES-COMPUTER SUP")</f>
        <v xml:space="preserve">          4186 - NON-TAXABLE SALES-COMPUTER SUP</v>
      </c>
      <c r="C65" s="12"/>
      <c r="D65" s="3">
        <f>0</f>
        <v>0</v>
      </c>
      <c r="E65" s="3"/>
      <c r="F65" s="20"/>
      <c r="G65" s="3"/>
      <c r="H65" s="3">
        <f>--345.23</f>
        <v>345.23</v>
      </c>
      <c r="I65" s="3"/>
      <c r="J65" s="20"/>
      <c r="K65" s="3"/>
      <c r="L65" s="3">
        <f t="shared" si="4"/>
        <v>-345.23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--2830.26</f>
        <v>2830.26</v>
      </c>
      <c r="U65" s="3"/>
      <c r="V65" s="20"/>
      <c r="W65" s="3"/>
      <c r="X65" s="3">
        <f t="shared" si="6"/>
        <v>-2830.26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","4200"," - ","TAXABLE RETURNS")</f>
        <v xml:space="preserve">          4200 - TAXABLE RETURNS</v>
      </c>
      <c r="C66" s="12"/>
      <c r="D66" s="3">
        <f>-44012.96</f>
        <v>-44012.959999999999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-44012.959999999999</v>
      </c>
      <c r="M66" s="3"/>
      <c r="N66" s="20">
        <f t="shared" si="5"/>
        <v>0</v>
      </c>
      <c r="O66" s="12"/>
      <c r="P66" s="3">
        <f>-355572.43</f>
        <v>-355572.43</v>
      </c>
      <c r="Q66" s="3"/>
      <c r="R66" s="20"/>
      <c r="S66" s="3"/>
      <c r="T66" s="3">
        <f>0</f>
        <v>0</v>
      </c>
      <c r="U66" s="3"/>
      <c r="V66" s="20"/>
      <c r="W66" s="3"/>
      <c r="X66" s="3">
        <f t="shared" si="6"/>
        <v>-355572.43</v>
      </c>
      <c r="Y66" s="3"/>
      <c r="Z66" s="20">
        <f t="shared" si="7"/>
        <v>0</v>
      </c>
    </row>
    <row r="67" spans="1:26" s="69" customFormat="1" ht="15" hidden="1" customHeight="1" outlineLevel="1" x14ac:dyDescent="0.3">
      <c r="A67" s="42"/>
      <c r="B67" s="12" t="str">
        <f>CONCATENATE("          ","4201"," - ","SALES RETURN TAXABLE-NEW TEXT")</f>
        <v xml:space="preserve">          4201 - SALES RETURN TAXABLE-NEW TEXT</v>
      </c>
      <c r="C67" s="12"/>
      <c r="D67" s="3">
        <f>0</f>
        <v>0</v>
      </c>
      <c r="E67" s="3"/>
      <c r="F67" s="20"/>
      <c r="G67" s="3"/>
      <c r="H67" s="3">
        <f>-2146.49</f>
        <v>-2146.4899999999998</v>
      </c>
      <c r="I67" s="3"/>
      <c r="J67" s="20"/>
      <c r="K67" s="3"/>
      <c r="L67" s="3">
        <f t="shared" si="4"/>
        <v>2146.4899999999998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-50664.23</f>
        <v>-50664.23</v>
      </c>
      <c r="U67" s="3"/>
      <c r="V67" s="20"/>
      <c r="W67" s="3"/>
      <c r="X67" s="3">
        <f t="shared" si="6"/>
        <v>50664.23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","4202"," - ","SALES RETURN TAXABLE-USED TEXT")</f>
        <v xml:space="preserve">          4202 - SALES RETURN TAXABLE-USED TEXT</v>
      </c>
      <c r="C68" s="12"/>
      <c r="D68" s="3">
        <f>0</f>
        <v>0</v>
      </c>
      <c r="E68" s="3"/>
      <c r="F68" s="20"/>
      <c r="G68" s="3"/>
      <c r="H68" s="3">
        <f>-1199.21</f>
        <v>-1199.21</v>
      </c>
      <c r="I68" s="3"/>
      <c r="J68" s="20"/>
      <c r="K68" s="3"/>
      <c r="L68" s="3">
        <f t="shared" si="4"/>
        <v>1199.21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-19735.51</f>
        <v>-19735.509999999998</v>
      </c>
      <c r="U68" s="3"/>
      <c r="V68" s="20"/>
      <c r="W68" s="3"/>
      <c r="X68" s="3">
        <f t="shared" si="6"/>
        <v>19735.509999999998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","4204"," - ","SALES RETURN TAXABLE-DIGITAL T")</f>
        <v xml:space="preserve">          4204 - SALES RETURN TAXABLE-DIGITAL T</v>
      </c>
      <c r="C69" s="12"/>
      <c r="D69" s="3">
        <f>0</f>
        <v>0</v>
      </c>
      <c r="E69" s="3"/>
      <c r="F69" s="20"/>
      <c r="G69" s="3"/>
      <c r="H69" s="3">
        <f>-132.25</f>
        <v>-132.25</v>
      </c>
      <c r="I69" s="3"/>
      <c r="J69" s="20"/>
      <c r="K69" s="3"/>
      <c r="L69" s="3">
        <f t="shared" si="4"/>
        <v>132.25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-1763.1</f>
        <v>-1763.1</v>
      </c>
      <c r="U69" s="3"/>
      <c r="V69" s="20"/>
      <c r="W69" s="3"/>
      <c r="X69" s="3">
        <f t="shared" si="6"/>
        <v>1763.1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","4213"," - ","NON-TAXABLE SALES-TRADE BOOKS")</f>
        <v xml:space="preserve">          4213 - NON-TAXABLE SALES-TRADE BOOKS</v>
      </c>
      <c r="C70" s="12"/>
      <c r="D70" s="3">
        <f>0</f>
        <v>0</v>
      </c>
      <c r="E70" s="3"/>
      <c r="F70" s="20"/>
      <c r="G70" s="3"/>
      <c r="H70" s="3">
        <f>-69.93</f>
        <v>-69.930000000000007</v>
      </c>
      <c r="I70" s="3"/>
      <c r="J70" s="20"/>
      <c r="K70" s="3"/>
      <c r="L70" s="3">
        <f t="shared" si="4"/>
        <v>69.930000000000007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-69.93</f>
        <v>-69.930000000000007</v>
      </c>
      <c r="U70" s="3"/>
      <c r="V70" s="20"/>
      <c r="W70" s="3"/>
      <c r="X70" s="3">
        <f t="shared" si="6"/>
        <v>69.930000000000007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","4226"," - ","SALES RETURN TAXABLE-WRITING I")</f>
        <v xml:space="preserve">          4226 - SALES RETURN TAXABLE-WRITING I</v>
      </c>
      <c r="C71" s="12"/>
      <c r="D71" s="3">
        <f>0</f>
        <v>0</v>
      </c>
      <c r="E71" s="3"/>
      <c r="F71" s="20"/>
      <c r="G71" s="3"/>
      <c r="H71" s="3">
        <f>0</f>
        <v>0</v>
      </c>
      <c r="I71" s="3"/>
      <c r="J71" s="20"/>
      <c r="K71" s="3"/>
      <c r="L71" s="3">
        <f t="shared" si="4"/>
        <v>0</v>
      </c>
      <c r="M71" s="3"/>
      <c r="N71" s="20">
        <f t="shared" si="5"/>
        <v>0</v>
      </c>
      <c r="O71" s="12"/>
      <c r="P71" s="3">
        <f>0</f>
        <v>0</v>
      </c>
      <c r="Q71" s="3"/>
      <c r="R71" s="20"/>
      <c r="S71" s="3"/>
      <c r="T71" s="3">
        <f>-34.23</f>
        <v>-34.229999999999997</v>
      </c>
      <c r="U71" s="3"/>
      <c r="V71" s="20"/>
      <c r="W71" s="3"/>
      <c r="X71" s="3">
        <f t="shared" si="6"/>
        <v>34.229999999999997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","4227"," - ","SALES RETURN TAXABLE-SCHOOL SU")</f>
        <v xml:space="preserve">          4227 - SALES RETURN TAXABLE-SCHOOL SU</v>
      </c>
      <c r="C72" s="12"/>
      <c r="D72" s="3">
        <f>0</f>
        <v>0</v>
      </c>
      <c r="E72" s="3"/>
      <c r="F72" s="20"/>
      <c r="G72" s="3"/>
      <c r="H72" s="3">
        <f>-19.05</f>
        <v>-19.05</v>
      </c>
      <c r="I72" s="3"/>
      <c r="J72" s="20"/>
      <c r="K72" s="3"/>
      <c r="L72" s="3">
        <f t="shared" si="4"/>
        <v>19.05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-781.73</f>
        <v>-781.73</v>
      </c>
      <c r="U72" s="3"/>
      <c r="V72" s="20"/>
      <c r="W72" s="3"/>
      <c r="X72" s="3">
        <f t="shared" si="6"/>
        <v>781.73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","4228"," - ","SALES RETURN TAXABLE-ART/TECH")</f>
        <v xml:space="preserve">          4228 - SALES RETURN TAXABLE-ART/TECH</v>
      </c>
      <c r="C73" s="12"/>
      <c r="D73" s="3">
        <f>0</f>
        <v>0</v>
      </c>
      <c r="E73" s="3"/>
      <c r="F73" s="20"/>
      <c r="G73" s="3"/>
      <c r="H73" s="3">
        <f>-10.71</f>
        <v>-10.71</v>
      </c>
      <c r="I73" s="3"/>
      <c r="J73" s="20"/>
      <c r="K73" s="3"/>
      <c r="L73" s="3">
        <f t="shared" si="4"/>
        <v>10.71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-12739.24</f>
        <v>-12739.24</v>
      </c>
      <c r="U73" s="3"/>
      <c r="V73" s="20"/>
      <c r="W73" s="3"/>
      <c r="X73" s="3">
        <f t="shared" si="6"/>
        <v>12739.24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","4240"," - ","SALES RETURN TAXABLE-LOGO CLOT")</f>
        <v xml:space="preserve">          4240 - SALES RETURN TAXABLE-LOGO CLOT</v>
      </c>
      <c r="C74" s="12"/>
      <c r="D74" s="3">
        <f>0</f>
        <v>0</v>
      </c>
      <c r="E74" s="3"/>
      <c r="F74" s="20"/>
      <c r="G74" s="3"/>
      <c r="H74" s="3">
        <f>-3542.64</f>
        <v>-3542.64</v>
      </c>
      <c r="I74" s="3"/>
      <c r="J74" s="20"/>
      <c r="K74" s="3"/>
      <c r="L74" s="3">
        <f t="shared" si="4"/>
        <v>3542.64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-31129.51</f>
        <v>-31129.51</v>
      </c>
      <c r="U74" s="3"/>
      <c r="V74" s="20"/>
      <c r="W74" s="3"/>
      <c r="X74" s="3">
        <f t="shared" si="6"/>
        <v>31129.51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","4241"," - ","SALES RETURN TAXABLE-LOGO GIFT")</f>
        <v xml:space="preserve">          4241 - SALES RETURN TAXABLE-LOGO GIFT</v>
      </c>
      <c r="C75" s="12"/>
      <c r="D75" s="3">
        <f>0</f>
        <v>0</v>
      </c>
      <c r="E75" s="3"/>
      <c r="F75" s="20"/>
      <c r="G75" s="3"/>
      <c r="H75" s="3">
        <f>-338.05</f>
        <v>-338.05</v>
      </c>
      <c r="I75" s="3"/>
      <c r="J75" s="20"/>
      <c r="K75" s="3"/>
      <c r="L75" s="3">
        <f t="shared" si="4"/>
        <v>338.05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-5295.52</f>
        <v>-5295.52</v>
      </c>
      <c r="U75" s="3"/>
      <c r="V75" s="20"/>
      <c r="W75" s="3"/>
      <c r="X75" s="3">
        <f t="shared" si="6"/>
        <v>5295.52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","4242"," - ","SALES RETURN TAXABLE-EVERYDAY")</f>
        <v xml:space="preserve">          4242 - SALES RETURN TAXABLE-EVERYDAY</v>
      </c>
      <c r="C76" s="12"/>
      <c r="D76" s="3">
        <f>0</f>
        <v>0</v>
      </c>
      <c r="E76" s="3"/>
      <c r="F76" s="20"/>
      <c r="G76" s="3"/>
      <c r="H76" s="3">
        <f>-44.96</f>
        <v>-44.96</v>
      </c>
      <c r="I76" s="3"/>
      <c r="J76" s="20"/>
      <c r="K76" s="3"/>
      <c r="L76" s="3">
        <f t="shared" ref="L76:L93" si="8">+D76-H76</f>
        <v>44.96</v>
      </c>
      <c r="M76" s="3"/>
      <c r="N76" s="20">
        <f t="shared" ref="N76:N93" si="9">IF(H76=0,0,L76/H76)</f>
        <v>-1</v>
      </c>
      <c r="O76" s="12"/>
      <c r="P76" s="3">
        <f>0</f>
        <v>0</v>
      </c>
      <c r="Q76" s="3"/>
      <c r="R76" s="20"/>
      <c r="S76" s="3"/>
      <c r="T76" s="3">
        <f>-1738.74</f>
        <v>-1738.74</v>
      </c>
      <c r="U76" s="3"/>
      <c r="V76" s="20"/>
      <c r="W76" s="3"/>
      <c r="X76" s="3">
        <f t="shared" ref="X76:X93" si="10">+P76-T76</f>
        <v>1738.74</v>
      </c>
      <c r="Y76" s="3"/>
      <c r="Z76" s="20">
        <f t="shared" ref="Z76:Z93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","4243"," - ","SALES RETURN TAXABLE-CARDS")</f>
        <v xml:space="preserve">          4243 - SALES RETURN TAXABLE-CARDS</v>
      </c>
      <c r="C77" s="12"/>
      <c r="D77" s="3">
        <f>0</f>
        <v>0</v>
      </c>
      <c r="E77" s="3"/>
      <c r="F77" s="20"/>
      <c r="G77" s="3"/>
      <c r="H77" s="3">
        <f>-369.81</f>
        <v>-369.81</v>
      </c>
      <c r="I77" s="3"/>
      <c r="J77" s="20"/>
      <c r="K77" s="3"/>
      <c r="L77" s="3">
        <f t="shared" si="8"/>
        <v>369.81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-5369.6</f>
        <v>-5369.6</v>
      </c>
      <c r="U77" s="3"/>
      <c r="V77" s="20"/>
      <c r="W77" s="3"/>
      <c r="X77" s="3">
        <f t="shared" si="10"/>
        <v>5369.6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","4244"," - ","SALES RETURN TAXABLE-ACCESSORI")</f>
        <v xml:space="preserve">          4244 - SALES RETURN TAXABLE-ACCESSORI</v>
      </c>
      <c r="C78" s="12"/>
      <c r="D78" s="3">
        <f>0</f>
        <v>0</v>
      </c>
      <c r="E78" s="3"/>
      <c r="F78" s="20"/>
      <c r="G78" s="3"/>
      <c r="H78" s="3">
        <f>-9.99</f>
        <v>-9.99</v>
      </c>
      <c r="I78" s="3"/>
      <c r="J78" s="20"/>
      <c r="K78" s="3"/>
      <c r="L78" s="3">
        <f t="shared" si="8"/>
        <v>9.99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-994.84</f>
        <v>-994.84</v>
      </c>
      <c r="U78" s="3"/>
      <c r="V78" s="20"/>
      <c r="W78" s="3"/>
      <c r="X78" s="3">
        <f t="shared" si="10"/>
        <v>994.84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","4245"," - ","SALES RETURN TAXABLE-SPECIAL O")</f>
        <v xml:space="preserve">          4245 - SALES RETURN TAXABLE-SPECIAL O</v>
      </c>
      <c r="C79" s="12"/>
      <c r="D79" s="3">
        <f>0</f>
        <v>0</v>
      </c>
      <c r="E79" s="3"/>
      <c r="F79" s="20"/>
      <c r="G79" s="3"/>
      <c r="H79" s="3">
        <f>-7.98</f>
        <v>-7.98</v>
      </c>
      <c r="I79" s="3"/>
      <c r="J79" s="20"/>
      <c r="K79" s="3"/>
      <c r="L79" s="3">
        <f t="shared" si="8"/>
        <v>7.98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-11353.59</f>
        <v>-11353.59</v>
      </c>
      <c r="U79" s="3"/>
      <c r="V79" s="20"/>
      <c r="W79" s="3"/>
      <c r="X79" s="3">
        <f t="shared" si="10"/>
        <v>11353.59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","4281"," - ","SALES RETURN TAXABLE-ELECTRONI")</f>
        <v xml:space="preserve">          4281 - SALES RETURN TAXABLE-ELECTRONI</v>
      </c>
      <c r="C80" s="12"/>
      <c r="D80" s="3">
        <f>0</f>
        <v>0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8"/>
        <v>0</v>
      </c>
      <c r="M80" s="3"/>
      <c r="N80" s="20">
        <f t="shared" si="9"/>
        <v>0</v>
      </c>
      <c r="O80" s="12"/>
      <c r="P80" s="3">
        <f>0</f>
        <v>0</v>
      </c>
      <c r="Q80" s="3"/>
      <c r="R80" s="20"/>
      <c r="S80" s="3"/>
      <c r="T80" s="3">
        <f>-14762.14</f>
        <v>-14762.14</v>
      </c>
      <c r="U80" s="3"/>
      <c r="V80" s="20"/>
      <c r="W80" s="3"/>
      <c r="X80" s="3">
        <f t="shared" si="10"/>
        <v>14762.14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","4282"," - ","SALES RETURN TAXABLE-COMPUTER")</f>
        <v xml:space="preserve">          4282 - SALES RETURN TAXABLE-COMPUTER</v>
      </c>
      <c r="C81" s="12"/>
      <c r="D81" s="3">
        <f>0</f>
        <v>0</v>
      </c>
      <c r="E81" s="3"/>
      <c r="F81" s="20"/>
      <c r="G81" s="3"/>
      <c r="H81" s="3">
        <f>-32711.15</f>
        <v>-32711.15</v>
      </c>
      <c r="I81" s="3"/>
      <c r="J81" s="20"/>
      <c r="K81" s="3"/>
      <c r="L81" s="3">
        <f t="shared" si="8"/>
        <v>32711.15</v>
      </c>
      <c r="M81" s="3"/>
      <c r="N81" s="20">
        <f t="shared" si="9"/>
        <v>-1</v>
      </c>
      <c r="O81" s="12"/>
      <c r="P81" s="3">
        <f>0</f>
        <v>0</v>
      </c>
      <c r="Q81" s="3"/>
      <c r="R81" s="20"/>
      <c r="S81" s="3"/>
      <c r="T81" s="3">
        <f>-129628.16</f>
        <v>-129628.16</v>
      </c>
      <c r="U81" s="3"/>
      <c r="V81" s="20"/>
      <c r="W81" s="3"/>
      <c r="X81" s="3">
        <f t="shared" si="10"/>
        <v>129628.16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","4283"," - ","SALES RETURN TAXABLE-COMPUTER")</f>
        <v xml:space="preserve">          4283 - SALES RETURN TAXABLE-COMPUTER</v>
      </c>
      <c r="C82" s="12"/>
      <c r="D82" s="3">
        <f>0</f>
        <v>0</v>
      </c>
      <c r="E82" s="3"/>
      <c r="F82" s="20"/>
      <c r="G82" s="3"/>
      <c r="H82" s="3">
        <f>-212.99</f>
        <v>-212.99</v>
      </c>
      <c r="I82" s="3"/>
      <c r="J82" s="20"/>
      <c r="K82" s="3"/>
      <c r="L82" s="3">
        <f t="shared" si="8"/>
        <v>212.99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-3359.28</f>
        <v>-3359.28</v>
      </c>
      <c r="U82" s="3"/>
      <c r="V82" s="20"/>
      <c r="W82" s="3"/>
      <c r="X82" s="3">
        <f t="shared" si="10"/>
        <v>3359.28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","4285"," - ","SALES RETURN TAXABLE-SOFTWARE")</f>
        <v xml:space="preserve">          4285 - SALES RETURN TAXABLE-SOFTWARE</v>
      </c>
      <c r="C83" s="12"/>
      <c r="D83" s="3">
        <f>0</f>
        <v>0</v>
      </c>
      <c r="E83" s="3"/>
      <c r="F83" s="20"/>
      <c r="G83" s="3"/>
      <c r="H83" s="3">
        <f>-149.99</f>
        <v>-149.99</v>
      </c>
      <c r="I83" s="3"/>
      <c r="J83" s="20"/>
      <c r="K83" s="3"/>
      <c r="L83" s="3">
        <f t="shared" si="8"/>
        <v>149.99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-841.97</f>
        <v>-841.97</v>
      </c>
      <c r="U83" s="3"/>
      <c r="V83" s="20"/>
      <c r="W83" s="3"/>
      <c r="X83" s="3">
        <f t="shared" si="10"/>
        <v>841.97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","4286"," - ","SALES RETURN TAXABLE-COMPUTER")</f>
        <v xml:space="preserve">          4286 - SALES RETURN TAXABLE-COMPUTER</v>
      </c>
      <c r="C84" s="12"/>
      <c r="D84" s="3">
        <f>0</f>
        <v>0</v>
      </c>
      <c r="E84" s="3"/>
      <c r="F84" s="20"/>
      <c r="G84" s="3"/>
      <c r="H84" s="3">
        <f>-34.97</f>
        <v>-34.97</v>
      </c>
      <c r="I84" s="3"/>
      <c r="J84" s="20"/>
      <c r="K84" s="3"/>
      <c r="L84" s="3">
        <f t="shared" si="8"/>
        <v>34.97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-4762.31</f>
        <v>-4762.3100000000004</v>
      </c>
      <c r="U84" s="3"/>
      <c r="V84" s="20"/>
      <c r="W84" s="3"/>
      <c r="X84" s="3">
        <f t="shared" si="10"/>
        <v>4762.3100000000004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","4300"," - ","NON-TAX RETURNS")</f>
        <v xml:space="preserve">          4300 - NON-TAX RETURNS</v>
      </c>
      <c r="C85" s="12"/>
      <c r="D85" s="3">
        <f>-3582.86</f>
        <v>-3582.86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-3582.86</v>
      </c>
      <c r="M85" s="3"/>
      <c r="N85" s="20">
        <f t="shared" si="9"/>
        <v>0</v>
      </c>
      <c r="O85" s="12"/>
      <c r="P85" s="3">
        <f>-32361.72</f>
        <v>-32361.72</v>
      </c>
      <c r="Q85" s="3"/>
      <c r="R85" s="20"/>
      <c r="S85" s="3"/>
      <c r="T85" s="3">
        <f>0</f>
        <v>0</v>
      </c>
      <c r="U85" s="3"/>
      <c r="V85" s="20"/>
      <c r="W85" s="3"/>
      <c r="X85" s="3">
        <f t="shared" si="10"/>
        <v>-32361.72</v>
      </c>
      <c r="Y85" s="3"/>
      <c r="Z85" s="20">
        <f t="shared" si="11"/>
        <v>0</v>
      </c>
    </row>
    <row r="86" spans="1:26" s="69" customFormat="1" ht="15" hidden="1" customHeight="1" outlineLevel="1" x14ac:dyDescent="0.3">
      <c r="A86" s="42"/>
      <c r="B86" s="12" t="str">
        <f>CONCATENATE("          ","4301"," - ","SALES RETURN NON TAXABLE-NEW T")</f>
        <v xml:space="preserve">          4301 - SALES RETURN NON TAXABLE-NEW T</v>
      </c>
      <c r="C86" s="12"/>
      <c r="D86" s="3">
        <f>0</f>
        <v>0</v>
      </c>
      <c r="E86" s="3"/>
      <c r="F86" s="20"/>
      <c r="G86" s="3"/>
      <c r="H86" s="3">
        <f>-231.5</f>
        <v>-231.5</v>
      </c>
      <c r="I86" s="3"/>
      <c r="J86" s="20"/>
      <c r="K86" s="3"/>
      <c r="L86" s="3">
        <f t="shared" si="8"/>
        <v>231.5</v>
      </c>
      <c r="M86" s="3"/>
      <c r="N86" s="20">
        <f t="shared" si="9"/>
        <v>-1</v>
      </c>
      <c r="O86" s="12"/>
      <c r="P86" s="3">
        <f>0</f>
        <v>0</v>
      </c>
      <c r="Q86" s="3"/>
      <c r="R86" s="20"/>
      <c r="S86" s="3"/>
      <c r="T86" s="3">
        <f>-3237.29</f>
        <v>-3237.29</v>
      </c>
      <c r="U86" s="3"/>
      <c r="V86" s="20"/>
      <c r="W86" s="3"/>
      <c r="X86" s="3">
        <f t="shared" si="10"/>
        <v>3237.29</v>
      </c>
      <c r="Y86" s="3"/>
      <c r="Z86" s="20">
        <f t="shared" si="11"/>
        <v>-1</v>
      </c>
    </row>
    <row r="87" spans="1:26" s="69" customFormat="1" ht="15" hidden="1" customHeight="1" outlineLevel="1" x14ac:dyDescent="0.3">
      <c r="A87" s="42"/>
      <c r="B87" s="12" t="str">
        <f>CONCATENATE("          ","4302"," - ","SALES RETURN NON TAXABLE-TEXT")</f>
        <v xml:space="preserve">          4302 - SALES RETURN NON TAXABLE-TEXT</v>
      </c>
      <c r="C87" s="12"/>
      <c r="D87" s="3">
        <f>0</f>
        <v>0</v>
      </c>
      <c r="E87" s="3"/>
      <c r="F87" s="20"/>
      <c r="G87" s="3"/>
      <c r="H87" s="3">
        <f>-70.32</f>
        <v>-70.319999999999993</v>
      </c>
      <c r="I87" s="3"/>
      <c r="J87" s="20"/>
      <c r="K87" s="3"/>
      <c r="L87" s="3">
        <f t="shared" si="8"/>
        <v>70.319999999999993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-2073.48</f>
        <v>-2073.48</v>
      </c>
      <c r="U87" s="3"/>
      <c r="V87" s="20"/>
      <c r="W87" s="3"/>
      <c r="X87" s="3">
        <f t="shared" si="10"/>
        <v>2073.48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","4304"," - ","SALES RETURN NON TAXABLE-DIGIT")</f>
        <v xml:space="preserve">          4304 - SALES RETURN NON TAXABLE-DIGIT</v>
      </c>
      <c r="C88" s="12"/>
      <c r="D88" s="3">
        <f>0</f>
        <v>0</v>
      </c>
      <c r="E88" s="3"/>
      <c r="F88" s="20"/>
      <c r="G88" s="3"/>
      <c r="H88" s="3">
        <f>-2172.95</f>
        <v>-2172.9499999999998</v>
      </c>
      <c r="I88" s="3"/>
      <c r="J88" s="20"/>
      <c r="K88" s="3"/>
      <c r="L88" s="3">
        <f t="shared" si="8"/>
        <v>2172.9499999999998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-27268.72</f>
        <v>-27268.720000000001</v>
      </c>
      <c r="U88" s="3"/>
      <c r="V88" s="20"/>
      <c r="W88" s="3"/>
      <c r="X88" s="3">
        <f t="shared" si="10"/>
        <v>27268.720000000001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","4340"," - ","SALES RETURN NON TAXABLE-LOGO")</f>
        <v xml:space="preserve">          4340 - SALES RETURN NON TAXABLE-LOGO</v>
      </c>
      <c r="C89" s="12"/>
      <c r="D89" s="3">
        <f>0</f>
        <v>0</v>
      </c>
      <c r="E89" s="3"/>
      <c r="F89" s="20"/>
      <c r="G89" s="3"/>
      <c r="H89" s="3">
        <f>-76.9</f>
        <v>-76.900000000000006</v>
      </c>
      <c r="I89" s="3"/>
      <c r="J89" s="20"/>
      <c r="K89" s="3"/>
      <c r="L89" s="3">
        <f t="shared" si="8"/>
        <v>76.900000000000006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-2292.84</f>
        <v>-2292.84</v>
      </c>
      <c r="U89" s="3"/>
      <c r="V89" s="20"/>
      <c r="W89" s="3"/>
      <c r="X89" s="3">
        <f t="shared" si="10"/>
        <v>2292.84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","4341"," - ","SALES RETURN NON TAXABLE-LOGO")</f>
        <v xml:space="preserve">          4341 - SALES RETURN NON TAXABLE-LOGO</v>
      </c>
      <c r="C90" s="12"/>
      <c r="D90" s="3">
        <f>0</f>
        <v>0</v>
      </c>
      <c r="E90" s="3"/>
      <c r="F90" s="20"/>
      <c r="G90" s="3"/>
      <c r="H90" s="3">
        <f>0</f>
        <v>0</v>
      </c>
      <c r="I90" s="3"/>
      <c r="J90" s="20"/>
      <c r="K90" s="3"/>
      <c r="L90" s="3">
        <f t="shared" si="8"/>
        <v>0</v>
      </c>
      <c r="M90" s="3"/>
      <c r="N90" s="20">
        <f t="shared" si="9"/>
        <v>0</v>
      </c>
      <c r="O90" s="12"/>
      <c r="P90" s="3">
        <f>0</f>
        <v>0</v>
      </c>
      <c r="Q90" s="3"/>
      <c r="R90" s="20"/>
      <c r="S90" s="3"/>
      <c r="T90" s="3">
        <f>-362.64</f>
        <v>-362.64</v>
      </c>
      <c r="U90" s="3"/>
      <c r="V90" s="20"/>
      <c r="W90" s="3"/>
      <c r="X90" s="3">
        <f t="shared" si="10"/>
        <v>362.64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","4342"," - ","SALES RETURN NON TAXABLE-EVERY")</f>
        <v xml:space="preserve">          4342 - SALES RETURN NON TAXABLE-EVERY</v>
      </c>
      <c r="C91" s="12"/>
      <c r="D91" s="3">
        <f>0</f>
        <v>0</v>
      </c>
      <c r="E91" s="3"/>
      <c r="F91" s="20"/>
      <c r="G91" s="3"/>
      <c r="H91" s="3">
        <f>0</f>
        <v>0</v>
      </c>
      <c r="I91" s="3"/>
      <c r="J91" s="20"/>
      <c r="K91" s="3"/>
      <c r="L91" s="3">
        <f t="shared" si="8"/>
        <v>0</v>
      </c>
      <c r="M91" s="3"/>
      <c r="N91" s="20">
        <f t="shared" si="9"/>
        <v>0</v>
      </c>
      <c r="O91" s="12"/>
      <c r="P91" s="3">
        <f>0</f>
        <v>0</v>
      </c>
      <c r="Q91" s="3"/>
      <c r="R91" s="20"/>
      <c r="S91" s="3"/>
      <c r="T91" s="3">
        <f>-118.7</f>
        <v>-118.7</v>
      </c>
      <c r="U91" s="3"/>
      <c r="V91" s="20"/>
      <c r="W91" s="3"/>
      <c r="X91" s="3">
        <f t="shared" si="10"/>
        <v>118.7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","4381"," - ","SALES RETURN NON TAXABLE-ELECT")</f>
        <v xml:space="preserve">          4381 - SALES RETURN NON TAXABLE-ELECT</v>
      </c>
      <c r="C92" s="12"/>
      <c r="D92" s="3">
        <f>0</f>
        <v>0</v>
      </c>
      <c r="E92" s="3"/>
      <c r="F92" s="20"/>
      <c r="G92" s="3"/>
      <c r="H92" s="3">
        <f>0</f>
        <v>0</v>
      </c>
      <c r="I92" s="3"/>
      <c r="J92" s="20"/>
      <c r="K92" s="3"/>
      <c r="L92" s="3">
        <f t="shared" si="8"/>
        <v>0</v>
      </c>
      <c r="M92" s="3"/>
      <c r="N92" s="20">
        <f t="shared" si="9"/>
        <v>0</v>
      </c>
      <c r="O92" s="12"/>
      <c r="P92" s="3">
        <f>0</f>
        <v>0</v>
      </c>
      <c r="Q92" s="3"/>
      <c r="R92" s="20"/>
      <c r="S92" s="3"/>
      <c r="T92" s="3">
        <f>-5624.15</f>
        <v>-5624.15</v>
      </c>
      <c r="U92" s="3"/>
      <c r="V92" s="20"/>
      <c r="W92" s="3"/>
      <c r="X92" s="3">
        <f t="shared" si="10"/>
        <v>5624.15</v>
      </c>
      <c r="Y92" s="3"/>
      <c r="Z92" s="20">
        <f t="shared" si="11"/>
        <v>-1</v>
      </c>
    </row>
    <row r="93" spans="1:26" s="69" customFormat="1" ht="15" hidden="1" customHeight="1" outlineLevel="1" x14ac:dyDescent="0.3">
      <c r="A93" s="42"/>
      <c r="B93" s="12" t="str">
        <f>CONCATENATE("          ","4500"," - ","SALES DISCOUNT")</f>
        <v xml:space="preserve">          4500 - SALES DISCOUNT</v>
      </c>
      <c r="C93" s="12"/>
      <c r="D93" s="3">
        <f>-12330.53</f>
        <v>-12330.53</v>
      </c>
      <c r="E93" s="3"/>
      <c r="F93" s="20"/>
      <c r="G93" s="3"/>
      <c r="H93" s="3">
        <f>0</f>
        <v>0</v>
      </c>
      <c r="I93" s="3"/>
      <c r="J93" s="20"/>
      <c r="K93" s="3"/>
      <c r="L93" s="3">
        <f t="shared" si="8"/>
        <v>-12330.53</v>
      </c>
      <c r="M93" s="3"/>
      <c r="N93" s="20">
        <f t="shared" si="9"/>
        <v>0</v>
      </c>
      <c r="O93" s="12"/>
      <c r="P93" s="3">
        <f>-83464.7</f>
        <v>-83464.7</v>
      </c>
      <c r="Q93" s="3"/>
      <c r="R93" s="20"/>
      <c r="S93" s="3"/>
      <c r="T93" s="3">
        <f>0</f>
        <v>0</v>
      </c>
      <c r="U93" s="3"/>
      <c r="V93" s="20"/>
      <c r="W93" s="3"/>
      <c r="X93" s="3">
        <f t="shared" si="10"/>
        <v>-83464.7</v>
      </c>
      <c r="Y93" s="3"/>
      <c r="Z93" s="20">
        <f t="shared" si="11"/>
        <v>0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collapsed="1" x14ac:dyDescent="0.3">
      <c r="A95" s="11"/>
      <c r="B95" s="27" t="s">
        <v>287</v>
      </c>
      <c r="C95" s="11"/>
      <c r="D95" s="5">
        <f>SUM(OSRRefD16x_0)</f>
        <v>548527.07999999996</v>
      </c>
      <c r="E95" s="5"/>
      <c r="F95" s="13">
        <f t="shared" ref="F95:F126" si="12">IF(D$12=0,0,D95/D$12)</f>
        <v>0.57738775496713413</v>
      </c>
      <c r="G95" s="5"/>
      <c r="H95" s="5">
        <f>SUM(OSRRefH16x_0)</f>
        <v>298270.13999999996</v>
      </c>
      <c r="I95" s="5"/>
      <c r="J95" s="13">
        <f t="shared" ref="J95:J126" si="13">IF(H$12=0,0,H95/H$12)</f>
        <v>0.76720500200861674</v>
      </c>
      <c r="K95" s="5"/>
      <c r="L95" s="5">
        <f t="shared" ref="L95:L126" si="14">+D95-H95</f>
        <v>250256.94</v>
      </c>
      <c r="M95" s="5"/>
      <c r="N95" s="13">
        <f t="shared" ref="N95:N126" si="15">IF(H95=0,0,L95/H95)</f>
        <v>0.83902780211254147</v>
      </c>
      <c r="O95" s="11"/>
      <c r="P95" s="5">
        <f>SUM(OSRRefP16x_0)</f>
        <v>4166311.55</v>
      </c>
      <c r="Q95" s="5"/>
      <c r="R95" s="13">
        <f t="shared" ref="R95:R126" si="16">IF(P$12=0,0,P95/P$12)</f>
        <v>0.642045023571022</v>
      </c>
      <c r="S95" s="5"/>
      <c r="T95" s="5">
        <f>SUM(OSRRefT16x_0)</f>
        <v>4131022.7500000009</v>
      </c>
      <c r="U95" s="5"/>
      <c r="V95" s="13">
        <f t="shared" ref="V95:V126" si="17">IF(T$12=0,0,T95/T$12)</f>
        <v>0.7284791146505436</v>
      </c>
      <c r="W95" s="5"/>
      <c r="X95" s="5">
        <f t="shared" ref="X95:X126" si="18">+P95-T95</f>
        <v>35288.799999998882</v>
      </c>
      <c r="Y95" s="5"/>
      <c r="Z95" s="13">
        <f t="shared" ref="Z95:Z126" si="19">IF(T95=0,0,X95/T95)</f>
        <v>8.5423882015655504E-3</v>
      </c>
    </row>
    <row r="96" spans="1:26" s="69" customFormat="1" ht="15" hidden="1" customHeight="1" outlineLevel="1" x14ac:dyDescent="0.3">
      <c r="A96" s="42"/>
      <c r="B96" s="12" t="str">
        <f>CONCATENATE("          ","5000"," - ","PURCHASES @ COST")</f>
        <v xml:space="preserve">          5000 - PURCHASES @ COST</v>
      </c>
      <c r="C96" s="12"/>
      <c r="D96" s="3">
        <v>539697.19999999995</v>
      </c>
      <c r="E96" s="3"/>
      <c r="F96" s="20">
        <f t="shared" si="12"/>
        <v>0.56809329207602366</v>
      </c>
      <c r="G96" s="3"/>
      <c r="H96" s="3"/>
      <c r="I96" s="3"/>
      <c r="J96" s="20">
        <f t="shared" si="13"/>
        <v>0</v>
      </c>
      <c r="K96" s="3"/>
      <c r="L96" s="3">
        <f t="shared" si="14"/>
        <v>539697.19999999995</v>
      </c>
      <c r="M96" s="3"/>
      <c r="N96" s="20">
        <f t="shared" si="15"/>
        <v>0</v>
      </c>
      <c r="O96" s="12"/>
      <c r="P96" s="3">
        <v>4585684.9000000004</v>
      </c>
      <c r="Q96" s="3"/>
      <c r="R96" s="20">
        <f t="shared" si="16"/>
        <v>0.70667210898085142</v>
      </c>
      <c r="S96" s="3"/>
      <c r="T96" s="3">
        <v>0</v>
      </c>
      <c r="U96" s="3"/>
      <c r="V96" s="20">
        <f t="shared" si="17"/>
        <v>0</v>
      </c>
      <c r="W96" s="3"/>
      <c r="X96" s="3">
        <f t="shared" si="18"/>
        <v>4585684.9000000004</v>
      </c>
      <c r="Y96" s="3"/>
      <c r="Z96" s="20">
        <f t="shared" si="19"/>
        <v>0</v>
      </c>
    </row>
    <row r="97" spans="1:26" s="69" customFormat="1" ht="15" hidden="1" customHeight="1" outlineLevel="1" x14ac:dyDescent="0.3">
      <c r="A97" s="42"/>
      <c r="B97" s="12" t="str">
        <f>CONCATENATE("          ","5001"," - ","PURCHASES @ COST-NEW TEXT")</f>
        <v xml:space="preserve">          5001 - PURCHASES @ COST-NEW TEXT</v>
      </c>
      <c r="C97" s="12"/>
      <c r="D97" s="3"/>
      <c r="E97" s="3"/>
      <c r="F97" s="20">
        <f t="shared" si="12"/>
        <v>0</v>
      </c>
      <c r="G97" s="3"/>
      <c r="H97" s="3">
        <v>-332593.57</v>
      </c>
      <c r="I97" s="3"/>
      <c r="J97" s="20">
        <f t="shared" si="13"/>
        <v>-0.85549110125439665</v>
      </c>
      <c r="K97" s="3"/>
      <c r="L97" s="3">
        <f t="shared" si="14"/>
        <v>332593.57</v>
      </c>
      <c r="M97" s="3"/>
      <c r="N97" s="20">
        <f t="shared" si="15"/>
        <v>-1</v>
      </c>
      <c r="O97" s="12"/>
      <c r="P97" s="3">
        <v>0</v>
      </c>
      <c r="Q97" s="3"/>
      <c r="R97" s="20">
        <f t="shared" si="16"/>
        <v>0</v>
      </c>
      <c r="S97" s="3"/>
      <c r="T97" s="3">
        <v>1326415.6399999999</v>
      </c>
      <c r="U97" s="3"/>
      <c r="V97" s="20">
        <f t="shared" si="17"/>
        <v>0.23390480991319493</v>
      </c>
      <c r="W97" s="3"/>
      <c r="X97" s="3">
        <f t="shared" si="18"/>
        <v>-1326415.6399999999</v>
      </c>
      <c r="Y97" s="3"/>
      <c r="Z97" s="20">
        <f t="shared" si="19"/>
        <v>-1</v>
      </c>
    </row>
    <row r="98" spans="1:26" s="69" customFormat="1" ht="15" hidden="1" customHeight="1" outlineLevel="1" x14ac:dyDescent="0.3">
      <c r="A98" s="42"/>
      <c r="B98" s="12" t="str">
        <f>CONCATENATE("          ","5002"," - ","PURCHASES @ COST-USED TEXT")</f>
        <v xml:space="preserve">          5002 - PURCHASES @ COST-USED TEXT</v>
      </c>
      <c r="C98" s="12"/>
      <c r="D98" s="3"/>
      <c r="E98" s="3"/>
      <c r="F98" s="20">
        <f t="shared" si="12"/>
        <v>0</v>
      </c>
      <c r="G98" s="3"/>
      <c r="H98" s="3">
        <v>121987.94</v>
      </c>
      <c r="I98" s="3"/>
      <c r="J98" s="20">
        <f t="shared" si="13"/>
        <v>0.31377514944247198</v>
      </c>
      <c r="K98" s="3"/>
      <c r="L98" s="3">
        <f t="shared" si="14"/>
        <v>-121987.94</v>
      </c>
      <c r="M98" s="3"/>
      <c r="N98" s="20">
        <f t="shared" si="15"/>
        <v>-1</v>
      </c>
      <c r="O98" s="12"/>
      <c r="P98" s="3">
        <v>0</v>
      </c>
      <c r="Q98" s="3"/>
      <c r="R98" s="20">
        <f t="shared" si="16"/>
        <v>0</v>
      </c>
      <c r="S98" s="3"/>
      <c r="T98" s="3">
        <v>382324.22</v>
      </c>
      <c r="U98" s="3"/>
      <c r="V98" s="20">
        <f t="shared" si="17"/>
        <v>6.7420400745810363E-2</v>
      </c>
      <c r="W98" s="3"/>
      <c r="X98" s="3">
        <f t="shared" si="18"/>
        <v>-382324.22</v>
      </c>
      <c r="Y98" s="3"/>
      <c r="Z98" s="20">
        <f t="shared" si="19"/>
        <v>-1</v>
      </c>
    </row>
    <row r="99" spans="1:26" s="69" customFormat="1" ht="15" hidden="1" customHeight="1" outlineLevel="1" x14ac:dyDescent="0.3">
      <c r="A99" s="42"/>
      <c r="B99" s="12" t="str">
        <f>CONCATENATE("          ","5003"," - ","PURCHASES @ COST-RENTAL TEXT")</f>
        <v xml:space="preserve">          5003 - PURCHASES @ COST-RENTAL TEXT</v>
      </c>
      <c r="C99" s="12"/>
      <c r="D99" s="3"/>
      <c r="E99" s="3"/>
      <c r="F99" s="20">
        <f t="shared" si="12"/>
        <v>0</v>
      </c>
      <c r="G99" s="3"/>
      <c r="H99" s="3"/>
      <c r="I99" s="3"/>
      <c r="J99" s="20">
        <f t="shared" si="13"/>
        <v>0</v>
      </c>
      <c r="K99" s="3"/>
      <c r="L99" s="3">
        <f t="shared" si="14"/>
        <v>0</v>
      </c>
      <c r="M99" s="3"/>
      <c r="N99" s="20">
        <f t="shared" si="15"/>
        <v>0</v>
      </c>
      <c r="O99" s="12"/>
      <c r="P99" s="3"/>
      <c r="Q99" s="3"/>
      <c r="R99" s="20">
        <f t="shared" si="16"/>
        <v>0</v>
      </c>
      <c r="S99" s="3"/>
      <c r="T99" s="3">
        <v>32.520000000000003</v>
      </c>
      <c r="U99" s="3"/>
      <c r="V99" s="20">
        <f t="shared" si="17"/>
        <v>5.7346914413472243E-6</v>
      </c>
      <c r="W99" s="3"/>
      <c r="X99" s="3">
        <f t="shared" si="18"/>
        <v>-32.520000000000003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","5004"," - ","PURCHASES @ COST-DIGITAL TEXT")</f>
        <v xml:space="preserve">          5004 - PURCHASES @ COST-DIGITAL TEXT</v>
      </c>
      <c r="C100" s="12"/>
      <c r="D100" s="3"/>
      <c r="E100" s="3"/>
      <c r="F100" s="20">
        <f t="shared" si="12"/>
        <v>0</v>
      </c>
      <c r="G100" s="3"/>
      <c r="H100" s="3">
        <v>3282.02</v>
      </c>
      <c r="I100" s="3"/>
      <c r="J100" s="20">
        <f t="shared" si="13"/>
        <v>8.4419518517419162E-3</v>
      </c>
      <c r="K100" s="3"/>
      <c r="L100" s="3">
        <f t="shared" si="14"/>
        <v>-3282.02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220008.58</v>
      </c>
      <c r="U100" s="3"/>
      <c r="V100" s="20">
        <f t="shared" si="17"/>
        <v>3.8797088583916235E-2</v>
      </c>
      <c r="W100" s="3"/>
      <c r="X100" s="3">
        <f t="shared" si="18"/>
        <v>-220008.58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","5011"," - ","PURCHASES @ COST-NO VALUE TEXT")</f>
        <v xml:space="preserve">          5011 - PURCHASES @ COST-NO VALUE TEXT</v>
      </c>
      <c r="C101" s="12"/>
      <c r="D101" s="3"/>
      <c r="E101" s="3"/>
      <c r="F101" s="20">
        <f t="shared" si="12"/>
        <v>0</v>
      </c>
      <c r="G101" s="3"/>
      <c r="H101" s="3"/>
      <c r="I101" s="3"/>
      <c r="J101" s="20">
        <f t="shared" si="13"/>
        <v>0</v>
      </c>
      <c r="K101" s="3"/>
      <c r="L101" s="3">
        <f t="shared" si="14"/>
        <v>0</v>
      </c>
      <c r="M101" s="3"/>
      <c r="N101" s="20">
        <f t="shared" si="15"/>
        <v>0</v>
      </c>
      <c r="O101" s="12"/>
      <c r="P101" s="3"/>
      <c r="Q101" s="3"/>
      <c r="R101" s="20">
        <f t="shared" si="16"/>
        <v>0</v>
      </c>
      <c r="S101" s="3"/>
      <c r="T101" s="3">
        <v>67.17</v>
      </c>
      <c r="U101" s="3"/>
      <c r="V101" s="20">
        <f t="shared" si="17"/>
        <v>1.1844994591491175E-5</v>
      </c>
      <c r="W101" s="3"/>
      <c r="X101" s="3">
        <f t="shared" si="18"/>
        <v>-67.17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","5013"," - ","PURCHASES @ COST-TRADE BOOKS")</f>
        <v xml:space="preserve">          5013 - PURCHASES @ COST-TRADE BOOKS</v>
      </c>
      <c r="C102" s="12"/>
      <c r="D102" s="3"/>
      <c r="E102" s="3"/>
      <c r="F102" s="20">
        <f t="shared" si="12"/>
        <v>0</v>
      </c>
      <c r="G102" s="3"/>
      <c r="H102" s="3">
        <v>305.11</v>
      </c>
      <c r="I102" s="3"/>
      <c r="J102" s="20">
        <f t="shared" si="13"/>
        <v>7.8479836487436896E-4</v>
      </c>
      <c r="K102" s="3"/>
      <c r="L102" s="3">
        <f t="shared" si="14"/>
        <v>-305.11</v>
      </c>
      <c r="M102" s="3"/>
      <c r="N102" s="20">
        <f t="shared" si="15"/>
        <v>-1</v>
      </c>
      <c r="O102" s="12"/>
      <c r="P102" s="3"/>
      <c r="Q102" s="3"/>
      <c r="R102" s="20">
        <f t="shared" si="16"/>
        <v>0</v>
      </c>
      <c r="S102" s="3"/>
      <c r="T102" s="3">
        <v>5962.09</v>
      </c>
      <c r="U102" s="3"/>
      <c r="V102" s="20">
        <f t="shared" si="17"/>
        <v>1.0513759684975975E-3</v>
      </c>
      <c r="W102" s="3"/>
      <c r="X102" s="3">
        <f t="shared" si="18"/>
        <v>-5962.09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","5014"," - ","PURCHASES @ COST-REMAINDERS")</f>
        <v xml:space="preserve">          5014 - PURCHASES @ COST-REMAINDERS</v>
      </c>
      <c r="C103" s="12"/>
      <c r="D103" s="3"/>
      <c r="E103" s="3"/>
      <c r="F103" s="20">
        <f t="shared" si="12"/>
        <v>0</v>
      </c>
      <c r="G103" s="3"/>
      <c r="H103" s="3">
        <v>21.16</v>
      </c>
      <c r="I103" s="3"/>
      <c r="J103" s="20">
        <f t="shared" si="13"/>
        <v>5.4427365214977048E-5</v>
      </c>
      <c r="K103" s="3"/>
      <c r="L103" s="3">
        <f t="shared" si="14"/>
        <v>-21.16</v>
      </c>
      <c r="M103" s="3"/>
      <c r="N103" s="20">
        <f t="shared" si="15"/>
        <v>-1</v>
      </c>
      <c r="O103" s="12"/>
      <c r="P103" s="3"/>
      <c r="Q103" s="3"/>
      <c r="R103" s="20">
        <f t="shared" si="16"/>
        <v>0</v>
      </c>
      <c r="S103" s="3"/>
      <c r="T103" s="3">
        <v>111.57</v>
      </c>
      <c r="U103" s="3"/>
      <c r="V103" s="20">
        <f t="shared" si="17"/>
        <v>1.9674647112887752E-5</v>
      </c>
      <c r="W103" s="3"/>
      <c r="X103" s="3">
        <f t="shared" si="18"/>
        <v>-111.57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","5018"," - ","PURCHASES @ COST-STUDY GUIDES")</f>
        <v xml:space="preserve">          5018 - PURCHASES @ COST-STUDY GUIDES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/>
      <c r="Q104" s="3"/>
      <c r="R104" s="20">
        <f t="shared" si="16"/>
        <v>0</v>
      </c>
      <c r="S104" s="3"/>
      <c r="T104" s="3">
        <v>522.34</v>
      </c>
      <c r="U104" s="3"/>
      <c r="V104" s="20">
        <f t="shared" si="17"/>
        <v>9.211127698257407E-5</v>
      </c>
      <c r="W104" s="3"/>
      <c r="X104" s="3">
        <f t="shared" si="18"/>
        <v>-522.34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","5025"," - ","PURCHASES @ COST-TEST FORMS")</f>
        <v xml:space="preserve">          5025 - PURCHASES @ COST-TEST FORMS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/>
      <c r="Q105" s="3"/>
      <c r="R105" s="20">
        <f t="shared" si="16"/>
        <v>0</v>
      </c>
      <c r="S105" s="3"/>
      <c r="T105" s="3">
        <v>599.29</v>
      </c>
      <c r="U105" s="3"/>
      <c r="V105" s="20">
        <f t="shared" si="17"/>
        <v>1.0568091125107556E-4</v>
      </c>
      <c r="W105" s="3"/>
      <c r="X105" s="3">
        <f t="shared" si="18"/>
        <v>-599.29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","5026"," - ","PURCHASES @ COST-WRITING INSTR")</f>
        <v xml:space="preserve">          5026 - PURCHASES @ COST-WRITING INSTR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>
        <v>0</v>
      </c>
      <c r="Q106" s="3"/>
      <c r="R106" s="20">
        <f t="shared" si="16"/>
        <v>0</v>
      </c>
      <c r="S106" s="3"/>
      <c r="T106" s="3">
        <v>374.91</v>
      </c>
      <c r="U106" s="3"/>
      <c r="V106" s="20">
        <f t="shared" si="17"/>
        <v>6.6112951053981791E-5</v>
      </c>
      <c r="W106" s="3"/>
      <c r="X106" s="3">
        <f t="shared" si="18"/>
        <v>-374.91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","5027"," - ","PURCHASES @ COST-SCHOOL SUPPLI")</f>
        <v xml:space="preserve">          5027 - PURCHASES @ COST-SCHOOL SUPPLI</v>
      </c>
      <c r="C107" s="12"/>
      <c r="D107" s="3"/>
      <c r="E107" s="3"/>
      <c r="F107" s="20">
        <f t="shared" si="12"/>
        <v>0</v>
      </c>
      <c r="G107" s="3"/>
      <c r="H107" s="3"/>
      <c r="I107" s="3"/>
      <c r="J107" s="20">
        <f t="shared" si="13"/>
        <v>0</v>
      </c>
      <c r="K107" s="3"/>
      <c r="L107" s="3">
        <f t="shared" si="14"/>
        <v>0</v>
      </c>
      <c r="M107" s="3"/>
      <c r="N107" s="20">
        <f t="shared" si="15"/>
        <v>0</v>
      </c>
      <c r="O107" s="12"/>
      <c r="P107" s="3">
        <v>0</v>
      </c>
      <c r="Q107" s="3"/>
      <c r="R107" s="20">
        <f t="shared" si="16"/>
        <v>0</v>
      </c>
      <c r="S107" s="3"/>
      <c r="T107" s="3">
        <v>19071.349999999999</v>
      </c>
      <c r="U107" s="3"/>
      <c r="V107" s="20">
        <f t="shared" si="17"/>
        <v>3.3631090904039781E-3</v>
      </c>
      <c r="W107" s="3"/>
      <c r="X107" s="3">
        <f t="shared" si="18"/>
        <v>-19071.349999999999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","5028"," - ","PURCHASES @ COST-ART/TECH")</f>
        <v xml:space="preserve">          5028 - PURCHASES @ COST-ART/TECH</v>
      </c>
      <c r="C108" s="12"/>
      <c r="D108" s="3"/>
      <c r="E108" s="3"/>
      <c r="F108" s="20">
        <f t="shared" si="12"/>
        <v>0</v>
      </c>
      <c r="G108" s="3"/>
      <c r="H108" s="3">
        <v>833.13</v>
      </c>
      <c r="I108" s="3"/>
      <c r="J108" s="20">
        <f t="shared" si="13"/>
        <v>2.1429617571622791E-3</v>
      </c>
      <c r="K108" s="3"/>
      <c r="L108" s="3">
        <f t="shared" si="14"/>
        <v>-833.13</v>
      </c>
      <c r="M108" s="3"/>
      <c r="N108" s="20">
        <f t="shared" si="15"/>
        <v>-1</v>
      </c>
      <c r="O108" s="12"/>
      <c r="P108" s="3">
        <v>0</v>
      </c>
      <c r="Q108" s="3"/>
      <c r="R108" s="20">
        <f t="shared" si="16"/>
        <v>0</v>
      </c>
      <c r="S108" s="3"/>
      <c r="T108" s="3">
        <v>42191.58</v>
      </c>
      <c r="U108" s="3"/>
      <c r="V108" s="20">
        <f t="shared" si="17"/>
        <v>7.440211953349222E-3</v>
      </c>
      <c r="W108" s="3"/>
      <c r="X108" s="3">
        <f t="shared" si="18"/>
        <v>-42191.58</v>
      </c>
      <c r="Y108" s="3"/>
      <c r="Z108" s="20">
        <f t="shared" si="19"/>
        <v>-1</v>
      </c>
    </row>
    <row r="109" spans="1:26" s="69" customFormat="1" ht="15" hidden="1" customHeight="1" outlineLevel="1" x14ac:dyDescent="0.3">
      <c r="A109" s="42"/>
      <c r="B109" s="12" t="str">
        <f>CONCATENATE("          ","5031"," - ","PURCHASES @ COST-FOOD")</f>
        <v xml:space="preserve">          5031 - PURCHASES @ COST-FOOD</v>
      </c>
      <c r="C109" s="12"/>
      <c r="D109" s="3"/>
      <c r="E109" s="3"/>
      <c r="F109" s="20">
        <f t="shared" si="12"/>
        <v>0</v>
      </c>
      <c r="G109" s="3"/>
      <c r="H109" s="3">
        <v>271.45999999999998</v>
      </c>
      <c r="I109" s="3"/>
      <c r="J109" s="20">
        <f t="shared" si="13"/>
        <v>6.9824444996491818E-4</v>
      </c>
      <c r="K109" s="3"/>
      <c r="L109" s="3">
        <f t="shared" si="14"/>
        <v>-271.45999999999998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7785.72</v>
      </c>
      <c r="U109" s="3"/>
      <c r="V109" s="20">
        <f t="shared" si="17"/>
        <v>1.3729613114614363E-3</v>
      </c>
      <c r="W109" s="3"/>
      <c r="X109" s="3">
        <f t="shared" si="18"/>
        <v>-7785.72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","5040"," - ","PURCHASES @ COST-LOGO CLOTHING")</f>
        <v xml:space="preserve">          5040 - PURCHASES @ COST-LOGO CLOTHING</v>
      </c>
      <c r="C110" s="12"/>
      <c r="D110" s="3"/>
      <c r="E110" s="3"/>
      <c r="F110" s="20">
        <f t="shared" si="12"/>
        <v>0</v>
      </c>
      <c r="G110" s="3"/>
      <c r="H110" s="3">
        <v>26599.9</v>
      </c>
      <c r="I110" s="3"/>
      <c r="J110" s="20">
        <f t="shared" si="13"/>
        <v>6.8419776558689416E-2</v>
      </c>
      <c r="K110" s="3"/>
      <c r="L110" s="3">
        <f t="shared" si="14"/>
        <v>-26599.9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193971.09</v>
      </c>
      <c r="U110" s="3"/>
      <c r="V110" s="20">
        <f t="shared" si="17"/>
        <v>3.4205545808480689E-2</v>
      </c>
      <c r="W110" s="3"/>
      <c r="X110" s="3">
        <f t="shared" si="18"/>
        <v>-193971.09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","5041"," - ","PURCHASES @ COST-LOGO GIFTS")</f>
        <v xml:space="preserve">          5041 - PURCHASES @ COST-LOGO GIFTS</v>
      </c>
      <c r="C111" s="12"/>
      <c r="D111" s="3"/>
      <c r="E111" s="3"/>
      <c r="F111" s="20">
        <f t="shared" si="12"/>
        <v>0</v>
      </c>
      <c r="G111" s="3"/>
      <c r="H111" s="3">
        <v>26592.81</v>
      </c>
      <c r="I111" s="3"/>
      <c r="J111" s="20">
        <f t="shared" si="13"/>
        <v>6.8401539790287985E-2</v>
      </c>
      <c r="K111" s="3"/>
      <c r="L111" s="3">
        <f t="shared" si="14"/>
        <v>-26592.81</v>
      </c>
      <c r="M111" s="3"/>
      <c r="N111" s="20">
        <f t="shared" si="15"/>
        <v>-1</v>
      </c>
      <c r="O111" s="12"/>
      <c r="P111" s="3">
        <v>0</v>
      </c>
      <c r="Q111" s="3"/>
      <c r="R111" s="20">
        <f t="shared" si="16"/>
        <v>0</v>
      </c>
      <c r="S111" s="3"/>
      <c r="T111" s="3">
        <v>67563.81</v>
      </c>
      <c r="U111" s="3"/>
      <c r="V111" s="20">
        <f t="shared" si="17"/>
        <v>1.1914440435172508E-2</v>
      </c>
      <c r="W111" s="3"/>
      <c r="X111" s="3">
        <f t="shared" si="18"/>
        <v>-67563.81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","5042"," - ","PURCHASES @ COST-EVERYDAY GIFT")</f>
        <v xml:space="preserve">          5042 - PURCHASES @ COST-EVERYDAY GIFT</v>
      </c>
      <c r="C112" s="12"/>
      <c r="D112" s="3"/>
      <c r="E112" s="3"/>
      <c r="F112" s="20">
        <f t="shared" si="12"/>
        <v>0</v>
      </c>
      <c r="G112" s="3"/>
      <c r="H112" s="3">
        <v>1196.2</v>
      </c>
      <c r="I112" s="3"/>
      <c r="J112" s="20">
        <f t="shared" si="13"/>
        <v>3.0768437745820202E-3</v>
      </c>
      <c r="K112" s="3"/>
      <c r="L112" s="3">
        <f t="shared" si="14"/>
        <v>-1196.2</v>
      </c>
      <c r="M112" s="3"/>
      <c r="N112" s="20">
        <f t="shared" si="15"/>
        <v>-1</v>
      </c>
      <c r="O112" s="12"/>
      <c r="P112" s="3">
        <v>0</v>
      </c>
      <c r="Q112" s="3"/>
      <c r="R112" s="20">
        <f t="shared" si="16"/>
        <v>0</v>
      </c>
      <c r="S112" s="3"/>
      <c r="T112" s="3">
        <v>19018.18</v>
      </c>
      <c r="U112" s="3"/>
      <c r="V112" s="20">
        <f t="shared" si="17"/>
        <v>3.3537329051660804E-3</v>
      </c>
      <c r="W112" s="3"/>
      <c r="X112" s="3">
        <f t="shared" si="18"/>
        <v>-19018.18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","5043"," - ","PURCHASES @ COST-CARDS")</f>
        <v xml:space="preserve">          5043 - PURCHASES @ COST-CARDS</v>
      </c>
      <c r="C113" s="12"/>
      <c r="D113" s="3"/>
      <c r="E113" s="3"/>
      <c r="F113" s="20">
        <f t="shared" si="12"/>
        <v>0</v>
      </c>
      <c r="G113" s="3"/>
      <c r="H113" s="3"/>
      <c r="I113" s="3"/>
      <c r="J113" s="20">
        <f t="shared" si="13"/>
        <v>0</v>
      </c>
      <c r="K113" s="3"/>
      <c r="L113" s="3">
        <f t="shared" si="14"/>
        <v>0</v>
      </c>
      <c r="M113" s="3"/>
      <c r="N113" s="20">
        <f t="shared" si="15"/>
        <v>0</v>
      </c>
      <c r="O113" s="12"/>
      <c r="P113" s="3">
        <v>0</v>
      </c>
      <c r="Q113" s="3"/>
      <c r="R113" s="20">
        <f t="shared" si="16"/>
        <v>0</v>
      </c>
      <c r="S113" s="3"/>
      <c r="T113" s="3">
        <v>55364.33</v>
      </c>
      <c r="U113" s="3"/>
      <c r="V113" s="20">
        <f t="shared" si="17"/>
        <v>9.7631411256741494E-3</v>
      </c>
      <c r="W113" s="3"/>
      <c r="X113" s="3">
        <f t="shared" si="18"/>
        <v>-55364.33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","5044"," - ","PURCHASES @ COST-ACCESSORIES")</f>
        <v xml:space="preserve">          5044 - PURCHASES @ COST-ACCESSORIES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>
        <v>0</v>
      </c>
      <c r="Q114" s="3"/>
      <c r="R114" s="20">
        <f t="shared" si="16"/>
        <v>0</v>
      </c>
      <c r="S114" s="3"/>
      <c r="T114" s="3">
        <v>1064.83</v>
      </c>
      <c r="U114" s="3"/>
      <c r="V114" s="20">
        <f t="shared" si="17"/>
        <v>1.8777587599907024E-4</v>
      </c>
      <c r="W114" s="3"/>
      <c r="X114" s="3">
        <f t="shared" si="18"/>
        <v>-1064.83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","5045"," - ","PURCHASES @ COST-SPECIAL ORDER")</f>
        <v xml:space="preserve">          5045 - PURCHASES @ COST-SPECIAL ORDER</v>
      </c>
      <c r="C115" s="12"/>
      <c r="D115" s="3"/>
      <c r="E115" s="3"/>
      <c r="F115" s="20">
        <f t="shared" si="12"/>
        <v>0</v>
      </c>
      <c r="G115" s="3"/>
      <c r="H115" s="3">
        <v>1909.13</v>
      </c>
      <c r="I115" s="3"/>
      <c r="J115" s="20">
        <f t="shared" si="13"/>
        <v>4.9106292888879549E-3</v>
      </c>
      <c r="K115" s="3"/>
      <c r="L115" s="3">
        <f t="shared" si="14"/>
        <v>-1909.13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95373.51</v>
      </c>
      <c r="U115" s="3"/>
      <c r="V115" s="20">
        <f t="shared" si="17"/>
        <v>1.6818500969503193E-2</v>
      </c>
      <c r="W115" s="3"/>
      <c r="X115" s="3">
        <f t="shared" si="18"/>
        <v>-95373.51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","5081"," - ","PURCHASES @ COST-ELECTRONICS")</f>
        <v xml:space="preserve">          5081 - PURCHASES @ COST-ELECTRONICS</v>
      </c>
      <c r="C116" s="12"/>
      <c r="D116" s="3"/>
      <c r="E116" s="3"/>
      <c r="F116" s="20">
        <f t="shared" si="12"/>
        <v>0</v>
      </c>
      <c r="G116" s="3"/>
      <c r="H116" s="3">
        <v>6584.13</v>
      </c>
      <c r="I116" s="3"/>
      <c r="J116" s="20">
        <f t="shared" si="13"/>
        <v>1.6935578834257413E-2</v>
      </c>
      <c r="K116" s="3"/>
      <c r="L116" s="3">
        <f t="shared" si="14"/>
        <v>-6584.13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32157.9</v>
      </c>
      <c r="U116" s="3"/>
      <c r="V116" s="20">
        <f t="shared" si="17"/>
        <v>5.6708374508517801E-3</v>
      </c>
      <c r="W116" s="3"/>
      <c r="X116" s="3">
        <f t="shared" si="18"/>
        <v>-32157.9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","5082"," - ","PURCHASES @ COST-COMPUTER HARD")</f>
        <v xml:space="preserve">          5082 - PURCHASES @ COST-COMPUTER HARD</v>
      </c>
      <c r="C117" s="12"/>
      <c r="D117" s="3"/>
      <c r="E117" s="3"/>
      <c r="F117" s="20">
        <f t="shared" si="12"/>
        <v>0</v>
      </c>
      <c r="G117" s="3"/>
      <c r="H117" s="3">
        <v>184376.31</v>
      </c>
      <c r="I117" s="3"/>
      <c r="J117" s="20">
        <f t="shared" si="13"/>
        <v>0.47424937435537923</v>
      </c>
      <c r="K117" s="3"/>
      <c r="L117" s="3">
        <f t="shared" si="14"/>
        <v>-184376.31</v>
      </c>
      <c r="M117" s="3"/>
      <c r="N117" s="20">
        <f t="shared" si="15"/>
        <v>-1</v>
      </c>
      <c r="O117" s="12"/>
      <c r="P117" s="3">
        <v>-93808.4</v>
      </c>
      <c r="Q117" s="3"/>
      <c r="R117" s="20">
        <f t="shared" si="16"/>
        <v>-1.4456244010162864E-2</v>
      </c>
      <c r="S117" s="3"/>
      <c r="T117" s="3">
        <v>1263577.8400000001</v>
      </c>
      <c r="U117" s="3"/>
      <c r="V117" s="20">
        <f t="shared" si="17"/>
        <v>0.22282377074182078</v>
      </c>
      <c r="W117" s="3"/>
      <c r="X117" s="3">
        <f t="shared" si="18"/>
        <v>-1357386.24</v>
      </c>
      <c r="Y117" s="3"/>
      <c r="Z117" s="20">
        <f t="shared" si="19"/>
        <v>-1.0742403016501143</v>
      </c>
    </row>
    <row r="118" spans="1:26" s="69" customFormat="1" ht="15" hidden="1" customHeight="1" outlineLevel="1" x14ac:dyDescent="0.3">
      <c r="A118" s="42"/>
      <c r="B118" s="12" t="str">
        <f>CONCATENATE("          ","5083"," - ","PURCHASES @ COST-COMPUTER EQUI")</f>
        <v xml:space="preserve">          5083 - PURCHASES @ COST-COMPUTER EQUI</v>
      </c>
      <c r="C118" s="12"/>
      <c r="D118" s="3"/>
      <c r="E118" s="3"/>
      <c r="F118" s="20">
        <f t="shared" si="12"/>
        <v>0</v>
      </c>
      <c r="G118" s="3"/>
      <c r="H118" s="3">
        <v>8631.6</v>
      </c>
      <c r="I118" s="3"/>
      <c r="J118" s="20">
        <f t="shared" si="13"/>
        <v>2.2202043742419464E-2</v>
      </c>
      <c r="K118" s="3"/>
      <c r="L118" s="3">
        <f t="shared" si="14"/>
        <v>-8631.6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99188.27</v>
      </c>
      <c r="U118" s="3"/>
      <c r="V118" s="20">
        <f t="shared" si="17"/>
        <v>1.7491209195911364E-2</v>
      </c>
      <c r="W118" s="3"/>
      <c r="X118" s="3">
        <f t="shared" si="18"/>
        <v>-99188.27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","5085"," - ","PURCHASES @ COST-SOFTWARE")</f>
        <v xml:space="preserve">          5085 - PURCHASES @ COST-SOFTWARE</v>
      </c>
      <c r="C119" s="12"/>
      <c r="D119" s="3"/>
      <c r="E119" s="3"/>
      <c r="F119" s="20">
        <f t="shared" si="12"/>
        <v>0</v>
      </c>
      <c r="G119" s="3"/>
      <c r="H119" s="3">
        <v>1399.23</v>
      </c>
      <c r="I119" s="3"/>
      <c r="J119" s="20">
        <f t="shared" si="13"/>
        <v>3.5990738293833805E-3</v>
      </c>
      <c r="K119" s="3"/>
      <c r="L119" s="3">
        <f t="shared" si="14"/>
        <v>-1399.23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30145.45</v>
      </c>
      <c r="U119" s="3"/>
      <c r="V119" s="20">
        <f t="shared" si="17"/>
        <v>5.3159549234489747E-3</v>
      </c>
      <c r="W119" s="3"/>
      <c r="X119" s="3">
        <f t="shared" si="18"/>
        <v>-30145.45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","5086"," - ","PURCHASES @ COST-COMPUTER SUPP")</f>
        <v xml:space="preserve">          5086 - PURCHASES @ COST-COMPUTER SUPP</v>
      </c>
      <c r="C120" s="12"/>
      <c r="D120" s="3"/>
      <c r="E120" s="3"/>
      <c r="F120" s="20">
        <f t="shared" si="12"/>
        <v>0</v>
      </c>
      <c r="G120" s="3"/>
      <c r="H120" s="3">
        <v>398.64</v>
      </c>
      <c r="I120" s="3"/>
      <c r="J120" s="20">
        <f t="shared" si="13"/>
        <v>1.025374521233386E-3</v>
      </c>
      <c r="K120" s="3"/>
      <c r="L120" s="3">
        <f t="shared" si="14"/>
        <v>-398.64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23138.49</v>
      </c>
      <c r="U120" s="3"/>
      <c r="V120" s="20">
        <f t="shared" si="17"/>
        <v>4.0803228957164307E-3</v>
      </c>
      <c r="W120" s="3"/>
      <c r="X120" s="3">
        <f t="shared" si="18"/>
        <v>-23138.49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","5092"," - ","PURCHASES @ COST-GRAD MERCH")</f>
        <v xml:space="preserve">          5092 - PURCHASES @ COST-GRAD MERCH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/>
      <c r="Q121" s="3"/>
      <c r="R121" s="20">
        <f t="shared" si="16"/>
        <v>0</v>
      </c>
      <c r="S121" s="3"/>
      <c r="T121" s="3">
        <v>0</v>
      </c>
      <c r="U121" s="3"/>
      <c r="V121" s="20">
        <f t="shared" si="17"/>
        <v>0</v>
      </c>
      <c r="W121" s="3"/>
      <c r="X121" s="3">
        <f t="shared" si="18"/>
        <v>0</v>
      </c>
      <c r="Y121" s="3"/>
      <c r="Z121" s="20">
        <f t="shared" si="19"/>
        <v>0</v>
      </c>
    </row>
    <row r="122" spans="1:26" s="69" customFormat="1" ht="15" hidden="1" customHeight="1" outlineLevel="1" x14ac:dyDescent="0.3">
      <c r="A122" s="42"/>
      <c r="B122" s="12" t="str">
        <f>CONCATENATE("          ","5200"," - ","PURCHASES OFFSET")</f>
        <v xml:space="preserve">          5200 - PURCHASES OFFSET</v>
      </c>
      <c r="C122" s="12"/>
      <c r="D122" s="3">
        <v>-536671.35</v>
      </c>
      <c r="E122" s="3"/>
      <c r="F122" s="20">
        <f t="shared" si="12"/>
        <v>-0.56490823740494478</v>
      </c>
      <c r="G122" s="3"/>
      <c r="H122" s="3">
        <v>-46641.74</v>
      </c>
      <c r="I122" s="3"/>
      <c r="J122" s="20">
        <f t="shared" si="13"/>
        <v>-0.11997103106058617</v>
      </c>
      <c r="K122" s="3"/>
      <c r="L122" s="3">
        <f t="shared" si="14"/>
        <v>-490029.61</v>
      </c>
      <c r="M122" s="3"/>
      <c r="N122" s="20">
        <f t="shared" si="15"/>
        <v>10.506246336435991</v>
      </c>
      <c r="O122" s="12"/>
      <c r="P122" s="3">
        <v>-4386453.21</v>
      </c>
      <c r="Q122" s="3"/>
      <c r="R122" s="20">
        <f t="shared" si="16"/>
        <v>-0.67596972065318417</v>
      </c>
      <c r="S122" s="3"/>
      <c r="T122" s="3">
        <v>-3425688.92</v>
      </c>
      <c r="U122" s="3"/>
      <c r="V122" s="20">
        <f t="shared" si="17"/>
        <v>-0.60409806058554771</v>
      </c>
      <c r="W122" s="3"/>
      <c r="X122" s="3">
        <f t="shared" si="18"/>
        <v>-960764.29</v>
      </c>
      <c r="Y122" s="3"/>
      <c r="Z122" s="20">
        <f t="shared" si="19"/>
        <v>0.28045870843403964</v>
      </c>
    </row>
    <row r="123" spans="1:26" s="69" customFormat="1" ht="15" hidden="1" customHeight="1" outlineLevel="1" x14ac:dyDescent="0.3">
      <c r="A123" s="42"/>
      <c r="B123" s="12" t="str">
        <f>CONCATENATE("          ","5300"," - ","COG$ OFFSET")</f>
        <v xml:space="preserve">          5300 - COG$ OFFSET</v>
      </c>
      <c r="C123" s="12"/>
      <c r="D123" s="3">
        <v>513873.01</v>
      </c>
      <c r="E123" s="3"/>
      <c r="F123" s="20">
        <f t="shared" si="12"/>
        <v>0.54091036596060804</v>
      </c>
      <c r="G123" s="3"/>
      <c r="H123" s="3">
        <v>286283</v>
      </c>
      <c r="I123" s="3"/>
      <c r="J123" s="20">
        <f t="shared" si="13"/>
        <v>0.73637189961433236</v>
      </c>
      <c r="K123" s="3"/>
      <c r="L123" s="3">
        <f t="shared" si="14"/>
        <v>227590.01</v>
      </c>
      <c r="M123" s="3"/>
      <c r="N123" s="20">
        <f t="shared" si="15"/>
        <v>0.79498262209072845</v>
      </c>
      <c r="O123" s="12"/>
      <c r="P123" s="3">
        <v>3937005.84</v>
      </c>
      <c r="Q123" s="3"/>
      <c r="R123" s="20">
        <f t="shared" si="16"/>
        <v>0.60670811028091531</v>
      </c>
      <c r="S123" s="3"/>
      <c r="T123" s="3">
        <v>3584463</v>
      </c>
      <c r="U123" s="3"/>
      <c r="V123" s="20">
        <f t="shared" si="17"/>
        <v>0.63209684157213386</v>
      </c>
      <c r="W123" s="3"/>
      <c r="X123" s="3">
        <f t="shared" si="18"/>
        <v>352542.83999999985</v>
      </c>
      <c r="Y123" s="3"/>
      <c r="Z123" s="20">
        <f t="shared" si="19"/>
        <v>9.8353042003781282E-2</v>
      </c>
    </row>
    <row r="124" spans="1:26" s="69" customFormat="1" ht="15" hidden="1" customHeight="1" outlineLevel="1" x14ac:dyDescent="0.3">
      <c r="A124" s="42"/>
      <c r="B124" s="12" t="str">
        <f>CONCATENATE("          ","5500"," - ","FREIGHT-IN")</f>
        <v xml:space="preserve">          5500 - FREIGHT-IN</v>
      </c>
      <c r="C124" s="12"/>
      <c r="D124" s="3">
        <v>31628.22</v>
      </c>
      <c r="E124" s="3"/>
      <c r="F124" s="20">
        <f t="shared" si="12"/>
        <v>3.3292334335447239E-2</v>
      </c>
      <c r="G124" s="3"/>
      <c r="H124" s="3">
        <v>0</v>
      </c>
      <c r="I124" s="3"/>
      <c r="J124" s="20">
        <f t="shared" si="13"/>
        <v>0</v>
      </c>
      <c r="K124" s="3"/>
      <c r="L124" s="3">
        <f t="shared" si="14"/>
        <v>31628.22</v>
      </c>
      <c r="M124" s="3"/>
      <c r="N124" s="20">
        <f t="shared" si="15"/>
        <v>0</v>
      </c>
      <c r="O124" s="12"/>
      <c r="P124" s="3">
        <v>123882.42</v>
      </c>
      <c r="Q124" s="3"/>
      <c r="R124" s="20">
        <f t="shared" si="16"/>
        <v>1.9090768972602454E-2</v>
      </c>
      <c r="S124" s="3"/>
      <c r="T124" s="3">
        <v>0</v>
      </c>
      <c r="U124" s="3"/>
      <c r="V124" s="20">
        <f t="shared" si="17"/>
        <v>0</v>
      </c>
      <c r="W124" s="3"/>
      <c r="X124" s="3">
        <f t="shared" si="18"/>
        <v>123882.42</v>
      </c>
      <c r="Y124" s="3"/>
      <c r="Z124" s="20">
        <f t="shared" si="19"/>
        <v>0</v>
      </c>
    </row>
    <row r="125" spans="1:26" s="69" customFormat="1" ht="15" hidden="1" customHeight="1" outlineLevel="1" x14ac:dyDescent="0.3">
      <c r="A125" s="42"/>
      <c r="B125" s="12" t="str">
        <f>CONCATENATE("          ","5501"," - ","FREIGHT-IN-NEW TEXT")</f>
        <v xml:space="preserve">          5501 - FREIGHT-IN-NEW TEXT</v>
      </c>
      <c r="C125" s="12"/>
      <c r="D125" s="3"/>
      <c r="E125" s="3"/>
      <c r="F125" s="20">
        <f t="shared" si="12"/>
        <v>0</v>
      </c>
      <c r="G125" s="3"/>
      <c r="H125" s="3">
        <v>4638.13</v>
      </c>
      <c r="I125" s="3"/>
      <c r="J125" s="20">
        <f t="shared" si="13"/>
        <v>1.1930113205318596E-2</v>
      </c>
      <c r="K125" s="3"/>
      <c r="L125" s="3">
        <f t="shared" si="14"/>
        <v>-4638.13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49256.92</v>
      </c>
      <c r="U125" s="3"/>
      <c r="V125" s="20">
        <f t="shared" si="17"/>
        <v>8.6861389160862515E-3</v>
      </c>
      <c r="W125" s="3"/>
      <c r="X125" s="3">
        <f t="shared" si="18"/>
        <v>-49256.92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","5502"," - ","FREIGHT-IN-USED TEXT")</f>
        <v xml:space="preserve">          5502 - FREIGHT-IN-USED TEXT</v>
      </c>
      <c r="C126" s="12"/>
      <c r="D126" s="3"/>
      <c r="E126" s="3"/>
      <c r="F126" s="20">
        <f t="shared" si="12"/>
        <v>0</v>
      </c>
      <c r="G126" s="3"/>
      <c r="H126" s="3">
        <v>1484.45</v>
      </c>
      <c r="I126" s="3"/>
      <c r="J126" s="20">
        <f t="shared" si="13"/>
        <v>3.818275155641431E-3</v>
      </c>
      <c r="K126" s="3"/>
      <c r="L126" s="3">
        <f t="shared" si="14"/>
        <v>-1484.45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17136.759999999998</v>
      </c>
      <c r="U126" s="3"/>
      <c r="V126" s="20">
        <f t="shared" si="17"/>
        <v>3.0219566698776578E-3</v>
      </c>
      <c r="W126" s="3"/>
      <c r="X126" s="3">
        <f t="shared" si="18"/>
        <v>-17136.759999999998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","5504"," - ","FREIGHT-IN-DIGITAL TEXT")</f>
        <v xml:space="preserve">          5504 - FREIGHT-IN-DIGITAL TEXT</v>
      </c>
      <c r="C127" s="12"/>
      <c r="D127" s="3"/>
      <c r="E127" s="3"/>
      <c r="F127" s="20">
        <f t="shared" ref="F127:F144" si="20">IF(D$12=0,0,D127/D$12)</f>
        <v>0</v>
      </c>
      <c r="G127" s="3"/>
      <c r="H127" s="3">
        <v>6.94</v>
      </c>
      <c r="I127" s="3"/>
      <c r="J127" s="20">
        <f t="shared" ref="J127:J144" si="21">IF(H$12=0,0,H127/H$12)</f>
        <v>1.7850941143286422E-5</v>
      </c>
      <c r="K127" s="3"/>
      <c r="L127" s="3">
        <f t="shared" ref="L127:L144" si="22">+D127-H127</f>
        <v>-6.94</v>
      </c>
      <c r="M127" s="3"/>
      <c r="N127" s="20">
        <f t="shared" ref="N127:N144" si="23">IF(H127=0,0,L127/H127)</f>
        <v>-1</v>
      </c>
      <c r="O127" s="12"/>
      <c r="P127" s="3"/>
      <c r="Q127" s="3"/>
      <c r="R127" s="20">
        <f t="shared" ref="R127:R144" si="24">IF(P$12=0,0,P127/P$12)</f>
        <v>0</v>
      </c>
      <c r="S127" s="3"/>
      <c r="T127" s="3">
        <v>28.92</v>
      </c>
      <c r="U127" s="3"/>
      <c r="V127" s="20">
        <f t="shared" ref="V127:V144" si="25">IF(T$12=0,0,T127/T$12)</f>
        <v>5.0998547504231773E-6</v>
      </c>
      <c r="W127" s="3"/>
      <c r="X127" s="3">
        <f t="shared" ref="X127:X144" si="26">+P127-T127</f>
        <v>-28.92</v>
      </c>
      <c r="Y127" s="3"/>
      <c r="Z127" s="20">
        <f t="shared" ref="Z127:Z144" si="27">IF(T127=0,0,X127/T127)</f>
        <v>-1</v>
      </c>
    </row>
    <row r="128" spans="1:26" s="69" customFormat="1" ht="15" hidden="1" customHeight="1" outlineLevel="1" x14ac:dyDescent="0.3">
      <c r="A128" s="42"/>
      <c r="B128" s="12" t="str">
        <f>CONCATENATE("          ","5513"," - ","FREIGHT-IN-TRADE BOOKS")</f>
        <v xml:space="preserve">          5513 - FREIGHT-IN-TRADE BOOKS</v>
      </c>
      <c r="C128" s="12"/>
      <c r="D128" s="3"/>
      <c r="E128" s="3"/>
      <c r="F128" s="20">
        <f t="shared" si="20"/>
        <v>0</v>
      </c>
      <c r="G128" s="3"/>
      <c r="H128" s="3"/>
      <c r="I128" s="3"/>
      <c r="J128" s="20">
        <f t="shared" si="21"/>
        <v>0</v>
      </c>
      <c r="K128" s="3"/>
      <c r="L128" s="3">
        <f t="shared" si="22"/>
        <v>0</v>
      </c>
      <c r="M128" s="3"/>
      <c r="N128" s="20">
        <f t="shared" si="23"/>
        <v>0</v>
      </c>
      <c r="O128" s="12"/>
      <c r="P128" s="3"/>
      <c r="Q128" s="3"/>
      <c r="R128" s="20">
        <f t="shared" si="24"/>
        <v>0</v>
      </c>
      <c r="S128" s="3"/>
      <c r="T128" s="3">
        <v>33.520000000000003</v>
      </c>
      <c r="U128" s="3"/>
      <c r="V128" s="20">
        <f t="shared" si="25"/>
        <v>5.9110349666039038E-6</v>
      </c>
      <c r="W128" s="3"/>
      <c r="X128" s="3">
        <f t="shared" si="26"/>
        <v>-33.520000000000003</v>
      </c>
      <c r="Y128" s="3"/>
      <c r="Z128" s="20">
        <f t="shared" si="27"/>
        <v>-1</v>
      </c>
    </row>
    <row r="129" spans="1:26" s="69" customFormat="1" ht="15" hidden="1" customHeight="1" outlineLevel="1" x14ac:dyDescent="0.3">
      <c r="A129" s="42"/>
      <c r="B129" s="12" t="str">
        <f>CONCATENATE("          ","5518"," - ","FREIGHT-IN-STUDY GUIDES")</f>
        <v xml:space="preserve">          5518 - FREIGHT-IN-STUDY GUIDES</v>
      </c>
      <c r="C129" s="12"/>
      <c r="D129" s="3"/>
      <c r="E129" s="3"/>
      <c r="F129" s="20">
        <f t="shared" si="20"/>
        <v>0</v>
      </c>
      <c r="G129" s="3"/>
      <c r="H129" s="3"/>
      <c r="I129" s="3"/>
      <c r="J129" s="20">
        <f t="shared" si="21"/>
        <v>0</v>
      </c>
      <c r="K129" s="3"/>
      <c r="L129" s="3">
        <f t="shared" si="22"/>
        <v>0</v>
      </c>
      <c r="M129" s="3"/>
      <c r="N129" s="20">
        <f t="shared" si="23"/>
        <v>0</v>
      </c>
      <c r="O129" s="12"/>
      <c r="P129" s="3">
        <v>0</v>
      </c>
      <c r="Q129" s="3"/>
      <c r="R129" s="20">
        <f t="shared" si="24"/>
        <v>0</v>
      </c>
      <c r="S129" s="3"/>
      <c r="T129" s="3"/>
      <c r="U129" s="3"/>
      <c r="V129" s="20">
        <f t="shared" si="25"/>
        <v>0</v>
      </c>
      <c r="W129" s="3"/>
      <c r="X129" s="3">
        <f t="shared" si="26"/>
        <v>0</v>
      </c>
      <c r="Y129" s="3"/>
      <c r="Z129" s="20">
        <f t="shared" si="27"/>
        <v>0</v>
      </c>
    </row>
    <row r="130" spans="1:26" s="69" customFormat="1" ht="15" hidden="1" customHeight="1" outlineLevel="1" x14ac:dyDescent="0.3">
      <c r="A130" s="42"/>
      <c r="B130" s="12" t="str">
        <f>CONCATENATE("          ","5525"," - ","FREIGHT-IN-TEST FORMS")</f>
        <v xml:space="preserve">          5525 - FREIGHT-IN-TEST FORMS</v>
      </c>
      <c r="C130" s="12"/>
      <c r="D130" s="3"/>
      <c r="E130" s="3"/>
      <c r="F130" s="20">
        <f t="shared" si="20"/>
        <v>0</v>
      </c>
      <c r="G130" s="3"/>
      <c r="H130" s="3"/>
      <c r="I130" s="3"/>
      <c r="J130" s="20">
        <f t="shared" si="21"/>
        <v>0</v>
      </c>
      <c r="K130" s="3"/>
      <c r="L130" s="3">
        <f t="shared" si="22"/>
        <v>0</v>
      </c>
      <c r="M130" s="3"/>
      <c r="N130" s="20">
        <f t="shared" si="23"/>
        <v>0</v>
      </c>
      <c r="O130" s="12"/>
      <c r="P130" s="3"/>
      <c r="Q130" s="3"/>
      <c r="R130" s="20">
        <f t="shared" si="24"/>
        <v>0</v>
      </c>
      <c r="S130" s="3"/>
      <c r="T130" s="3">
        <v>48.14</v>
      </c>
      <c r="U130" s="3"/>
      <c r="V130" s="20">
        <f t="shared" si="25"/>
        <v>8.4891773058565605E-6</v>
      </c>
      <c r="W130" s="3"/>
      <c r="X130" s="3">
        <f t="shared" si="26"/>
        <v>-48.14</v>
      </c>
      <c r="Y130" s="3"/>
      <c r="Z130" s="20">
        <f t="shared" si="27"/>
        <v>-1</v>
      </c>
    </row>
    <row r="131" spans="1:26" s="69" customFormat="1" ht="15" hidden="1" customHeight="1" outlineLevel="1" x14ac:dyDescent="0.3">
      <c r="A131" s="42"/>
      <c r="B131" s="12" t="str">
        <f>CONCATENATE("          ","5526"," - ","FREIGHT-IN-WRITING INSTRUMENTS")</f>
        <v xml:space="preserve">          5526 - FREIGHT-IN-WRITING INSTRUMENTS</v>
      </c>
      <c r="C131" s="12"/>
      <c r="D131" s="3"/>
      <c r="E131" s="3"/>
      <c r="F131" s="20">
        <f t="shared" si="20"/>
        <v>0</v>
      </c>
      <c r="G131" s="3"/>
      <c r="H131" s="3"/>
      <c r="I131" s="3"/>
      <c r="J131" s="20">
        <f t="shared" si="21"/>
        <v>0</v>
      </c>
      <c r="K131" s="3"/>
      <c r="L131" s="3">
        <f t="shared" si="22"/>
        <v>0</v>
      </c>
      <c r="M131" s="3"/>
      <c r="N131" s="20">
        <f t="shared" si="23"/>
        <v>0</v>
      </c>
      <c r="O131" s="12"/>
      <c r="P131" s="3"/>
      <c r="Q131" s="3"/>
      <c r="R131" s="20">
        <f t="shared" si="24"/>
        <v>0</v>
      </c>
      <c r="S131" s="3"/>
      <c r="T131" s="3">
        <v>0</v>
      </c>
      <c r="U131" s="3"/>
      <c r="V131" s="20">
        <f t="shared" si="25"/>
        <v>0</v>
      </c>
      <c r="W131" s="3"/>
      <c r="X131" s="3">
        <f t="shared" si="26"/>
        <v>0</v>
      </c>
      <c r="Y131" s="3"/>
      <c r="Z131" s="20">
        <f t="shared" si="27"/>
        <v>0</v>
      </c>
    </row>
    <row r="132" spans="1:26" s="69" customFormat="1" ht="15" hidden="1" customHeight="1" outlineLevel="1" x14ac:dyDescent="0.3">
      <c r="A132" s="42"/>
      <c r="B132" s="12" t="str">
        <f>CONCATENATE("          ","5527"," - ","FREIGHT-IN-SCHOOL SUPPLIES")</f>
        <v xml:space="preserve">          5527 - FREIGHT-IN-SCHOOL SUPPLIES</v>
      </c>
      <c r="C132" s="12"/>
      <c r="D132" s="3"/>
      <c r="E132" s="3"/>
      <c r="F132" s="20">
        <f t="shared" si="20"/>
        <v>0</v>
      </c>
      <c r="G132" s="3"/>
      <c r="H132" s="3"/>
      <c r="I132" s="3"/>
      <c r="J132" s="20">
        <f t="shared" si="21"/>
        <v>0</v>
      </c>
      <c r="K132" s="3"/>
      <c r="L132" s="3">
        <f t="shared" si="22"/>
        <v>0</v>
      </c>
      <c r="M132" s="3"/>
      <c r="N132" s="20">
        <f t="shared" si="23"/>
        <v>0</v>
      </c>
      <c r="O132" s="12"/>
      <c r="P132" s="3">
        <v>0</v>
      </c>
      <c r="Q132" s="3"/>
      <c r="R132" s="20">
        <f t="shared" si="24"/>
        <v>0</v>
      </c>
      <c r="S132" s="3"/>
      <c r="T132" s="3">
        <v>177.5</v>
      </c>
      <c r="U132" s="3"/>
      <c r="V132" s="20">
        <f t="shared" si="25"/>
        <v>3.1300975733060648E-5</v>
      </c>
      <c r="W132" s="3"/>
      <c r="X132" s="3">
        <f t="shared" si="26"/>
        <v>-177.5</v>
      </c>
      <c r="Y132" s="3"/>
      <c r="Z132" s="20">
        <f t="shared" si="27"/>
        <v>-1</v>
      </c>
    </row>
    <row r="133" spans="1:26" s="69" customFormat="1" ht="15" hidden="1" customHeight="1" outlineLevel="1" x14ac:dyDescent="0.3">
      <c r="A133" s="42"/>
      <c r="B133" s="12" t="str">
        <f>CONCATENATE("          ","5528"," - ","FREIGHT-IN-ART/TECH")</f>
        <v xml:space="preserve">          5528 - FREIGHT-IN-ART/TECH</v>
      </c>
      <c r="C133" s="12"/>
      <c r="D133" s="3"/>
      <c r="E133" s="3"/>
      <c r="F133" s="20">
        <f t="shared" si="20"/>
        <v>0</v>
      </c>
      <c r="G133" s="3"/>
      <c r="H133" s="3">
        <v>12.76</v>
      </c>
      <c r="I133" s="3"/>
      <c r="J133" s="20">
        <f t="shared" si="21"/>
        <v>3.2821038759126045E-5</v>
      </c>
      <c r="K133" s="3"/>
      <c r="L133" s="3">
        <f t="shared" si="22"/>
        <v>-12.76</v>
      </c>
      <c r="M133" s="3"/>
      <c r="N133" s="20">
        <f t="shared" si="23"/>
        <v>-1</v>
      </c>
      <c r="O133" s="12"/>
      <c r="P133" s="3">
        <v>0</v>
      </c>
      <c r="Q133" s="3"/>
      <c r="R133" s="20">
        <f t="shared" si="24"/>
        <v>0</v>
      </c>
      <c r="S133" s="3"/>
      <c r="T133" s="3">
        <v>351.5</v>
      </c>
      <c r="U133" s="3"/>
      <c r="V133" s="20">
        <f t="shared" si="25"/>
        <v>6.1984749127722916E-5</v>
      </c>
      <c r="W133" s="3"/>
      <c r="X133" s="3">
        <f t="shared" si="26"/>
        <v>-351.5</v>
      </c>
      <c r="Y133" s="3"/>
      <c r="Z133" s="20">
        <f t="shared" si="27"/>
        <v>-1</v>
      </c>
    </row>
    <row r="134" spans="1:26" s="69" customFormat="1" ht="15" hidden="1" customHeight="1" outlineLevel="1" x14ac:dyDescent="0.3">
      <c r="A134" s="42"/>
      <c r="B134" s="12" t="str">
        <f>CONCATENATE("          ","5540"," - ","FREIGHT-IN-LOGO CLOTHING")</f>
        <v xml:space="preserve">          5540 - FREIGHT-IN-LOGO CLOTHING</v>
      </c>
      <c r="C134" s="12"/>
      <c r="D134" s="3"/>
      <c r="E134" s="3"/>
      <c r="F134" s="20">
        <f t="shared" si="20"/>
        <v>0</v>
      </c>
      <c r="G134" s="3"/>
      <c r="H134" s="3">
        <v>150.6</v>
      </c>
      <c r="I134" s="3"/>
      <c r="J134" s="20">
        <f t="shared" si="21"/>
        <v>3.8737056717275722E-4</v>
      </c>
      <c r="K134" s="3"/>
      <c r="L134" s="3">
        <f t="shared" si="22"/>
        <v>-150.6</v>
      </c>
      <c r="M134" s="3"/>
      <c r="N134" s="20">
        <f t="shared" si="23"/>
        <v>-1</v>
      </c>
      <c r="O134" s="12"/>
      <c r="P134" s="3">
        <v>0</v>
      </c>
      <c r="Q134" s="3"/>
      <c r="R134" s="20">
        <f t="shared" si="24"/>
        <v>0</v>
      </c>
      <c r="S134" s="3"/>
      <c r="T134" s="3">
        <v>5941.23</v>
      </c>
      <c r="U134" s="3"/>
      <c r="V134" s="20">
        <f t="shared" si="25"/>
        <v>1.047697442560743E-3</v>
      </c>
      <c r="W134" s="3"/>
      <c r="X134" s="3">
        <f t="shared" si="26"/>
        <v>-5941.23</v>
      </c>
      <c r="Y134" s="3"/>
      <c r="Z134" s="20">
        <f t="shared" si="27"/>
        <v>-1</v>
      </c>
    </row>
    <row r="135" spans="1:26" s="69" customFormat="1" ht="15" hidden="1" customHeight="1" outlineLevel="1" x14ac:dyDescent="0.3">
      <c r="A135" s="42"/>
      <c r="B135" s="12" t="str">
        <f>CONCATENATE("          ","5541"," - ","FREIGHT-IN-LOGO GIFTS")</f>
        <v xml:space="preserve">          5541 - FREIGHT-IN-LOGO GIFTS</v>
      </c>
      <c r="C135" s="12"/>
      <c r="D135" s="3"/>
      <c r="E135" s="3"/>
      <c r="F135" s="20">
        <f t="shared" si="20"/>
        <v>0</v>
      </c>
      <c r="G135" s="3"/>
      <c r="H135" s="3">
        <v>375.06</v>
      </c>
      <c r="I135" s="3"/>
      <c r="J135" s="20">
        <f t="shared" si="21"/>
        <v>9.6472247625374716E-4</v>
      </c>
      <c r="K135" s="3"/>
      <c r="L135" s="3">
        <f t="shared" si="22"/>
        <v>-375.06</v>
      </c>
      <c r="M135" s="3"/>
      <c r="N135" s="20">
        <f t="shared" si="23"/>
        <v>-1</v>
      </c>
      <c r="O135" s="12"/>
      <c r="P135" s="3">
        <v>0</v>
      </c>
      <c r="Q135" s="3"/>
      <c r="R135" s="20">
        <f t="shared" si="24"/>
        <v>0</v>
      </c>
      <c r="S135" s="3"/>
      <c r="T135" s="3">
        <v>2077.9299999999998</v>
      </c>
      <c r="U135" s="3"/>
      <c r="V135" s="20">
        <f t="shared" si="25"/>
        <v>3.6642950143661238E-4</v>
      </c>
      <c r="W135" s="3"/>
      <c r="X135" s="3">
        <f t="shared" si="26"/>
        <v>-2077.9299999999998</v>
      </c>
      <c r="Y135" s="3"/>
      <c r="Z135" s="20">
        <f t="shared" si="27"/>
        <v>-1</v>
      </c>
    </row>
    <row r="136" spans="1:26" s="69" customFormat="1" ht="15" hidden="1" customHeight="1" outlineLevel="1" x14ac:dyDescent="0.3">
      <c r="A136" s="42"/>
      <c r="B136" s="12" t="str">
        <f>CONCATENATE("          ","5542"," - ","FREIGHT-IN-EVERYDAY GIFTS")</f>
        <v xml:space="preserve">          5542 - FREIGHT-IN-EVERYDAY GIFTS</v>
      </c>
      <c r="C136" s="12"/>
      <c r="D136" s="3"/>
      <c r="E136" s="3"/>
      <c r="F136" s="20">
        <f t="shared" si="20"/>
        <v>0</v>
      </c>
      <c r="G136" s="3"/>
      <c r="H136" s="3"/>
      <c r="I136" s="3"/>
      <c r="J136" s="20">
        <f t="shared" si="21"/>
        <v>0</v>
      </c>
      <c r="K136" s="3"/>
      <c r="L136" s="3">
        <f t="shared" si="22"/>
        <v>0</v>
      </c>
      <c r="M136" s="3"/>
      <c r="N136" s="20">
        <f t="shared" si="23"/>
        <v>0</v>
      </c>
      <c r="O136" s="12"/>
      <c r="P136" s="3">
        <v>0</v>
      </c>
      <c r="Q136" s="3"/>
      <c r="R136" s="20">
        <f t="shared" si="24"/>
        <v>0</v>
      </c>
      <c r="S136" s="3"/>
      <c r="T136" s="3">
        <v>383.93</v>
      </c>
      <c r="U136" s="3"/>
      <c r="V136" s="20">
        <f t="shared" si="25"/>
        <v>6.7703569651797032E-5</v>
      </c>
      <c r="W136" s="3"/>
      <c r="X136" s="3">
        <f t="shared" si="26"/>
        <v>-383.93</v>
      </c>
      <c r="Y136" s="3"/>
      <c r="Z136" s="20">
        <f t="shared" si="27"/>
        <v>-1</v>
      </c>
    </row>
    <row r="137" spans="1:26" s="69" customFormat="1" ht="15" hidden="1" customHeight="1" outlineLevel="1" x14ac:dyDescent="0.3">
      <c r="A137" s="42"/>
      <c r="B137" s="12" t="str">
        <f>CONCATENATE("          ","5543"," - ","FREIGHT-IN-CARDS")</f>
        <v xml:space="preserve">          5543 - FREIGHT-IN-CARDS</v>
      </c>
      <c r="C137" s="12"/>
      <c r="D137" s="3"/>
      <c r="E137" s="3"/>
      <c r="F137" s="20">
        <f t="shared" si="20"/>
        <v>0</v>
      </c>
      <c r="G137" s="3"/>
      <c r="H137" s="3"/>
      <c r="I137" s="3"/>
      <c r="J137" s="20">
        <f t="shared" si="21"/>
        <v>0</v>
      </c>
      <c r="K137" s="3"/>
      <c r="L137" s="3">
        <f t="shared" si="22"/>
        <v>0</v>
      </c>
      <c r="M137" s="3"/>
      <c r="N137" s="20">
        <f t="shared" si="23"/>
        <v>0</v>
      </c>
      <c r="O137" s="12"/>
      <c r="P137" s="3"/>
      <c r="Q137" s="3"/>
      <c r="R137" s="20">
        <f t="shared" si="24"/>
        <v>0</v>
      </c>
      <c r="S137" s="3"/>
      <c r="T137" s="3">
        <v>9110.5300000000007</v>
      </c>
      <c r="U137" s="3"/>
      <c r="V137" s="20">
        <f t="shared" si="25"/>
        <v>1.6065829771567382E-3</v>
      </c>
      <c r="W137" s="3"/>
      <c r="X137" s="3">
        <f t="shared" si="26"/>
        <v>-9110.5300000000007</v>
      </c>
      <c r="Y137" s="3"/>
      <c r="Z137" s="20">
        <f t="shared" si="27"/>
        <v>-1</v>
      </c>
    </row>
    <row r="138" spans="1:26" s="69" customFormat="1" ht="15" hidden="1" customHeight="1" outlineLevel="1" x14ac:dyDescent="0.3">
      <c r="A138" s="42"/>
      <c r="B138" s="12" t="str">
        <f>CONCATENATE("          ","5544"," - ","FREIGHT-IN-ACCESSORIES")</f>
        <v xml:space="preserve">          5544 - FREIGHT-IN-ACCESSORIES</v>
      </c>
      <c r="C138" s="12"/>
      <c r="D138" s="3"/>
      <c r="E138" s="3"/>
      <c r="F138" s="20">
        <f t="shared" si="20"/>
        <v>0</v>
      </c>
      <c r="G138" s="3"/>
      <c r="H138" s="3"/>
      <c r="I138" s="3"/>
      <c r="J138" s="20">
        <f t="shared" si="21"/>
        <v>0</v>
      </c>
      <c r="K138" s="3"/>
      <c r="L138" s="3">
        <f t="shared" si="22"/>
        <v>0</v>
      </c>
      <c r="M138" s="3"/>
      <c r="N138" s="20">
        <f t="shared" si="23"/>
        <v>0</v>
      </c>
      <c r="O138" s="12"/>
      <c r="P138" s="3">
        <v>0</v>
      </c>
      <c r="Q138" s="3"/>
      <c r="R138" s="20">
        <f t="shared" si="24"/>
        <v>0</v>
      </c>
      <c r="S138" s="3"/>
      <c r="T138" s="3"/>
      <c r="U138" s="3"/>
      <c r="V138" s="20">
        <f t="shared" si="25"/>
        <v>0</v>
      </c>
      <c r="W138" s="3"/>
      <c r="X138" s="3">
        <f t="shared" si="26"/>
        <v>0</v>
      </c>
      <c r="Y138" s="3"/>
      <c r="Z138" s="20">
        <f t="shared" si="27"/>
        <v>0</v>
      </c>
    </row>
    <row r="139" spans="1:26" s="69" customFormat="1" ht="15" hidden="1" customHeight="1" outlineLevel="1" x14ac:dyDescent="0.3">
      <c r="A139" s="42"/>
      <c r="B139" s="12" t="str">
        <f>CONCATENATE("          ","5545"," - ","FREIGHT-IN-SPECIAL ORDERS")</f>
        <v xml:space="preserve">          5545 - FREIGHT-IN-SPECIAL ORDERS</v>
      </c>
      <c r="C139" s="12"/>
      <c r="D139" s="3"/>
      <c r="E139" s="3"/>
      <c r="F139" s="20">
        <f t="shared" si="20"/>
        <v>0</v>
      </c>
      <c r="G139" s="3"/>
      <c r="H139" s="3">
        <v>134.74</v>
      </c>
      <c r="I139" s="3"/>
      <c r="J139" s="20">
        <f t="shared" si="21"/>
        <v>3.4657576507873383E-4</v>
      </c>
      <c r="K139" s="3"/>
      <c r="L139" s="3">
        <f t="shared" si="22"/>
        <v>-134.74</v>
      </c>
      <c r="M139" s="3"/>
      <c r="N139" s="20">
        <f t="shared" si="23"/>
        <v>-1</v>
      </c>
      <c r="O139" s="12"/>
      <c r="P139" s="3">
        <v>0</v>
      </c>
      <c r="Q139" s="3"/>
      <c r="R139" s="20">
        <f t="shared" si="24"/>
        <v>0</v>
      </c>
      <c r="S139" s="3"/>
      <c r="T139" s="3">
        <v>1248.53</v>
      </c>
      <c r="U139" s="3"/>
      <c r="V139" s="20">
        <f t="shared" si="25"/>
        <v>2.201701815887223E-4</v>
      </c>
      <c r="W139" s="3"/>
      <c r="X139" s="3">
        <f t="shared" si="26"/>
        <v>-1248.53</v>
      </c>
      <c r="Y139" s="3"/>
      <c r="Z139" s="20">
        <f t="shared" si="27"/>
        <v>-1</v>
      </c>
    </row>
    <row r="140" spans="1:26" s="69" customFormat="1" ht="15" hidden="1" customHeight="1" outlineLevel="1" x14ac:dyDescent="0.3">
      <c r="A140" s="42"/>
      <c r="B140" s="12" t="str">
        <f>CONCATENATE("          ","5581"," - ","FREIGHT-IN-ELECTRONICS")</f>
        <v xml:space="preserve">          5581 - FREIGHT-IN-ELECTRONICS</v>
      </c>
      <c r="C140" s="12"/>
      <c r="D140" s="3"/>
      <c r="E140" s="3"/>
      <c r="F140" s="20">
        <f t="shared" si="20"/>
        <v>0</v>
      </c>
      <c r="G140" s="3"/>
      <c r="H140" s="3"/>
      <c r="I140" s="3"/>
      <c r="J140" s="20">
        <f t="shared" si="21"/>
        <v>0</v>
      </c>
      <c r="K140" s="3"/>
      <c r="L140" s="3">
        <f t="shared" si="22"/>
        <v>0</v>
      </c>
      <c r="M140" s="3"/>
      <c r="N140" s="20">
        <f t="shared" si="23"/>
        <v>0</v>
      </c>
      <c r="O140" s="12"/>
      <c r="P140" s="3"/>
      <c r="Q140" s="3"/>
      <c r="R140" s="20">
        <f t="shared" si="24"/>
        <v>0</v>
      </c>
      <c r="S140" s="3"/>
      <c r="T140" s="3">
        <v>31</v>
      </c>
      <c r="U140" s="3"/>
      <c r="V140" s="20">
        <f t="shared" si="25"/>
        <v>5.4666492829570703E-6</v>
      </c>
      <c r="W140" s="3"/>
      <c r="X140" s="3">
        <f t="shared" si="26"/>
        <v>-31</v>
      </c>
      <c r="Y140" s="3"/>
      <c r="Z140" s="20">
        <f t="shared" si="27"/>
        <v>-1</v>
      </c>
    </row>
    <row r="141" spans="1:26" s="69" customFormat="1" ht="15" hidden="1" customHeight="1" outlineLevel="1" x14ac:dyDescent="0.3">
      <c r="A141" s="42"/>
      <c r="B141" s="12" t="str">
        <f>CONCATENATE("          ","5582"," - ","FREIGHT-IN-COMPUTER HARDWARE")</f>
        <v xml:space="preserve">          5582 - FREIGHT-IN-COMPUTER HARDWARE</v>
      </c>
      <c r="C141" s="12"/>
      <c r="D141" s="3"/>
      <c r="E141" s="3"/>
      <c r="F141" s="20">
        <f t="shared" si="20"/>
        <v>0</v>
      </c>
      <c r="G141" s="3"/>
      <c r="H141" s="3">
        <v>31</v>
      </c>
      <c r="I141" s="3"/>
      <c r="J141" s="20">
        <f t="shared" si="21"/>
        <v>7.9737633348973933E-5</v>
      </c>
      <c r="K141" s="3"/>
      <c r="L141" s="3">
        <f t="shared" si="22"/>
        <v>-31</v>
      </c>
      <c r="M141" s="3"/>
      <c r="N141" s="20">
        <f t="shared" si="23"/>
        <v>-1</v>
      </c>
      <c r="O141" s="12"/>
      <c r="P141" s="3"/>
      <c r="Q141" s="3"/>
      <c r="R141" s="20">
        <f t="shared" si="24"/>
        <v>0</v>
      </c>
      <c r="S141" s="3"/>
      <c r="T141" s="3">
        <v>125</v>
      </c>
      <c r="U141" s="3"/>
      <c r="V141" s="20">
        <f t="shared" si="25"/>
        <v>2.204294065708496E-5</v>
      </c>
      <c r="W141" s="3"/>
      <c r="X141" s="3">
        <f t="shared" si="26"/>
        <v>-125</v>
      </c>
      <c r="Y141" s="3"/>
      <c r="Z141" s="20">
        <f t="shared" si="27"/>
        <v>-1</v>
      </c>
    </row>
    <row r="142" spans="1:26" s="69" customFormat="1" ht="15" hidden="1" customHeight="1" outlineLevel="1" x14ac:dyDescent="0.3">
      <c r="A142" s="42"/>
      <c r="B142" s="12" t="str">
        <f>CONCATENATE("          ","5583"," - ","FREIGHT-IN-COMPUTER EQUIPMENT")</f>
        <v xml:space="preserve">          5583 - FREIGHT-IN-COMPUTER EQUIPMENT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>
        <v>0</v>
      </c>
      <c r="Q142" s="3"/>
      <c r="R142" s="20">
        <f t="shared" si="24"/>
        <v>0</v>
      </c>
      <c r="S142" s="3"/>
      <c r="T142" s="3">
        <v>242.46</v>
      </c>
      <c r="U142" s="3"/>
      <c r="V142" s="20">
        <f t="shared" si="25"/>
        <v>4.2756251133734558E-5</v>
      </c>
      <c r="W142" s="3"/>
      <c r="X142" s="3">
        <f t="shared" si="26"/>
        <v>-242.46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","5586"," - ","FREIGHT-IN-COMPUTER SUPPLIES")</f>
        <v xml:space="preserve">          5586 - FREIGHT-IN-COMPUTER SUPPLIES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/>
      <c r="Q143" s="3"/>
      <c r="R143" s="20">
        <f t="shared" si="24"/>
        <v>0</v>
      </c>
      <c r="S143" s="3"/>
      <c r="T143" s="3">
        <v>24.12</v>
      </c>
      <c r="U143" s="3"/>
      <c r="V143" s="20">
        <f t="shared" si="25"/>
        <v>4.253405829191114E-6</v>
      </c>
      <c r="W143" s="3"/>
      <c r="X143" s="3">
        <f t="shared" si="26"/>
        <v>-24.12</v>
      </c>
      <c r="Y143" s="3"/>
      <c r="Z143" s="20">
        <f t="shared" si="27"/>
        <v>-1</v>
      </c>
    </row>
    <row r="144" spans="1:26" s="69" customFormat="1" ht="15" hidden="1" customHeight="1" outlineLevel="1" x14ac:dyDescent="0.3">
      <c r="A144" s="42"/>
      <c r="B144" s="12" t="str">
        <f>CONCATENATE("          ","5592"," - ","FREIGHT-IN-GRAD MERCH")</f>
        <v xml:space="preserve">          5592 - FREIGHT-IN-GRAD MERCH</v>
      </c>
      <c r="C144" s="12"/>
      <c r="D144" s="3"/>
      <c r="E144" s="3"/>
      <c r="F144" s="20">
        <f t="shared" si="20"/>
        <v>0</v>
      </c>
      <c r="G144" s="3"/>
      <c r="H144" s="3"/>
      <c r="I144" s="3"/>
      <c r="J144" s="20">
        <f t="shared" si="21"/>
        <v>0</v>
      </c>
      <c r="K144" s="3"/>
      <c r="L144" s="3">
        <f t="shared" si="22"/>
        <v>0</v>
      </c>
      <c r="M144" s="3"/>
      <c r="N144" s="20">
        <f t="shared" si="23"/>
        <v>0</v>
      </c>
      <c r="O144" s="12"/>
      <c r="P144" s="3"/>
      <c r="Q144" s="3"/>
      <c r="R144" s="20">
        <f t="shared" si="24"/>
        <v>0</v>
      </c>
      <c r="S144" s="3"/>
      <c r="T144" s="3">
        <v>0</v>
      </c>
      <c r="U144" s="3"/>
      <c r="V144" s="20">
        <f t="shared" si="25"/>
        <v>0</v>
      </c>
      <c r="W144" s="3"/>
      <c r="X144" s="3">
        <f t="shared" si="26"/>
        <v>0</v>
      </c>
      <c r="Y144" s="3"/>
      <c r="Z144" s="20">
        <f t="shared" si="27"/>
        <v>0</v>
      </c>
    </row>
    <row r="145" spans="1:26" ht="15" customHeight="1" x14ac:dyDescent="0.3">
      <c r="A145" s="10"/>
      <c r="B145" s="11"/>
      <c r="C145" s="11"/>
      <c r="D145" s="4"/>
      <c r="E145" s="4"/>
      <c r="F145" s="9"/>
      <c r="G145" s="4"/>
      <c r="H145" s="4"/>
      <c r="I145" s="4"/>
      <c r="J145" s="9"/>
      <c r="K145" s="4"/>
      <c r="L145" s="4"/>
      <c r="M145" s="4"/>
      <c r="N145" s="9"/>
      <c r="O145" s="11"/>
      <c r="P145" s="4"/>
      <c r="Q145" s="4"/>
      <c r="R145" s="9"/>
      <c r="S145" s="4"/>
      <c r="T145" s="4"/>
      <c r="U145" s="4"/>
      <c r="V145" s="9"/>
      <c r="W145" s="4"/>
      <c r="X145" s="4"/>
      <c r="Y145" s="4"/>
      <c r="Z145" s="9"/>
    </row>
    <row r="146" spans="1:26" s="62" customFormat="1" ht="15" customHeight="1" x14ac:dyDescent="0.3">
      <c r="A146" s="11"/>
      <c r="B146" s="28" t="s">
        <v>288</v>
      </c>
      <c r="C146" s="28"/>
      <c r="D146" s="23">
        <f>D12-D95</f>
        <v>401488.01000000013</v>
      </c>
      <c r="E146" s="15"/>
      <c r="F146" s="22">
        <f>IF(D$12=0,0,D146/D$12)</f>
        <v>0.42261224503286582</v>
      </c>
      <c r="G146" s="15"/>
      <c r="H146" s="23">
        <f>H12-H95</f>
        <v>90504.879999999946</v>
      </c>
      <c r="I146" s="15"/>
      <c r="J146" s="22">
        <f>IF(H$12=0,0,H146/H$12)</f>
        <v>0.2327949979913832</v>
      </c>
      <c r="K146" s="17"/>
      <c r="L146" s="23">
        <f>+D146-H146</f>
        <v>310983.13000000018</v>
      </c>
      <c r="M146" s="17"/>
      <c r="N146" s="22">
        <f>IF(H146=0,0,L146/H146)</f>
        <v>3.4360923963437151</v>
      </c>
      <c r="O146" s="27"/>
      <c r="P146" s="23">
        <f>P12-P95</f>
        <v>2322815.2200000007</v>
      </c>
      <c r="Q146" s="15"/>
      <c r="R146" s="22">
        <f>IF(P$12=0,0,P146/P$12)</f>
        <v>0.35795497642897806</v>
      </c>
      <c r="S146" s="15"/>
      <c r="T146" s="23">
        <f>T12-T95</f>
        <v>1539726.9900000002</v>
      </c>
      <c r="U146" s="15"/>
      <c r="V146" s="22">
        <f>IF(T$12=0,0,T146/T$12)</f>
        <v>0.27152088534945645</v>
      </c>
      <c r="W146" s="17"/>
      <c r="X146" s="23">
        <f>+P146-T146</f>
        <v>783088.23000000045</v>
      </c>
      <c r="Y146" s="17"/>
      <c r="Z146" s="22">
        <f>IF(T146=0,0,X146/T146)</f>
        <v>0.50858901291325698</v>
      </c>
    </row>
    <row r="147" spans="1:26" ht="15" customHeight="1" x14ac:dyDescent="0.3">
      <c r="A147" s="10"/>
      <c r="B147" s="11"/>
      <c r="C147" s="10"/>
      <c r="D147" s="2"/>
      <c r="E147" s="2"/>
      <c r="F147" s="6"/>
      <c r="G147" s="2"/>
      <c r="H147" s="2"/>
      <c r="I147" s="2"/>
      <c r="J147" s="6"/>
      <c r="K147" s="2"/>
      <c r="L147" s="2"/>
      <c r="M147" s="2"/>
      <c r="N147" s="6"/>
      <c r="O147" s="36"/>
      <c r="P147" s="2"/>
      <c r="Q147" s="2"/>
      <c r="R147" s="6"/>
      <c r="S147" s="2"/>
      <c r="T147" s="2"/>
      <c r="U147" s="2"/>
      <c r="V147" s="6"/>
      <c r="W147" s="2"/>
      <c r="X147" s="2"/>
      <c r="Y147" s="2"/>
      <c r="Z147" s="6"/>
    </row>
    <row r="148" spans="1:26" s="62" customFormat="1" ht="15" customHeight="1" x14ac:dyDescent="0.3">
      <c r="A148" s="11"/>
      <c r="B148" s="27" t="s">
        <v>289</v>
      </c>
      <c r="C148" s="11"/>
      <c r="D148" s="21" cm="1">
        <f t="array" ref="D148">SUM(OSRRefD22x_0)</f>
        <v>328359.32000000007</v>
      </c>
      <c r="E148" s="21"/>
      <c r="F148" s="30">
        <f t="shared" ref="F148:F179" si="28">IF(D$12=0,0,D148/D$12)</f>
        <v>0.34563589932029398</v>
      </c>
      <c r="G148" s="21"/>
      <c r="H148" s="21" cm="1">
        <f t="array" ref="H148">SUM(OSRRefH22x_0)</f>
        <v>262302.67000000004</v>
      </c>
      <c r="I148" s="21"/>
      <c r="J148" s="30">
        <f t="shared" ref="J148:J179" si="29">IF(H$12=0,0,H148/H$12)</f>
        <v>0.67469013312635184</v>
      </c>
      <c r="K148" s="5"/>
      <c r="L148" s="21">
        <f t="shared" ref="L148:L179" si="30">+D148-H148</f>
        <v>66056.650000000023</v>
      </c>
      <c r="M148" s="5"/>
      <c r="N148" s="30">
        <f t="shared" ref="N148:N179" si="31">IF(H148=0,0,L148/H148)</f>
        <v>0.25183369273366535</v>
      </c>
      <c r="O148" s="11"/>
      <c r="P148" s="21" cm="1">
        <f t="array" ref="P148">SUM(OSRRefP22x_0)</f>
        <v>2653513.4499999997</v>
      </c>
      <c r="Q148" s="21"/>
      <c r="R148" s="30">
        <f t="shared" ref="R148:R179" si="32">IF(P$12=0,0,P148/P$12)</f>
        <v>0.40891687649985603</v>
      </c>
      <c r="S148" s="21"/>
      <c r="T148" s="21" cm="1">
        <f t="array" ref="T148">SUM(OSRRefT22x_0)</f>
        <v>2263182.7999999993</v>
      </c>
      <c r="U148" s="21"/>
      <c r="V148" s="30">
        <f t="shared" ref="V148:V179" si="33">IF(T$12=0,0,T148/T$12)</f>
        <v>0.39909763325228292</v>
      </c>
      <c r="W148" s="5"/>
      <c r="X148" s="21">
        <f t="shared" ref="X148:X179" si="34">+P148-T148</f>
        <v>390330.65000000037</v>
      </c>
      <c r="Y148" s="5"/>
      <c r="Z148" s="30">
        <f t="shared" ref="Z148:Z179" si="35">IF(T148=0,0,X148/T148)</f>
        <v>0.17246978458832424</v>
      </c>
    </row>
    <row r="149" spans="1:26" s="68" customFormat="1" ht="15" customHeight="1" outlineLevel="1" collapsed="1" x14ac:dyDescent="0.3">
      <c r="A149" s="25"/>
      <c r="B149" s="14" t="str">
        <f>CONCATENATE("     ","*Benefits                                         ")</f>
        <v xml:space="preserve">     *Benefits                                         </v>
      </c>
      <c r="C149" s="14"/>
      <c r="D149" s="2">
        <f>SUM(OSRRefD22_0x_0)</f>
        <v>25602.550000000003</v>
      </c>
      <c r="E149" s="2"/>
      <c r="F149" s="6">
        <f t="shared" si="28"/>
        <v>2.6949624558068864E-2</v>
      </c>
      <c r="G149" s="2"/>
      <c r="H149" s="2">
        <f>SUM(OSRRefH22_0x_0)</f>
        <v>47905.339999999989</v>
      </c>
      <c r="I149" s="2"/>
      <c r="J149" s="6">
        <f t="shared" si="29"/>
        <v>0.12322123988315917</v>
      </c>
      <c r="K149" s="2"/>
      <c r="L149" s="2">
        <f t="shared" si="30"/>
        <v>-22302.789999999986</v>
      </c>
      <c r="M149" s="2"/>
      <c r="N149" s="6">
        <f t="shared" si="31"/>
        <v>-0.46555958062295333</v>
      </c>
      <c r="O149" s="14"/>
      <c r="P149" s="2">
        <f>SUM(OSRRefP22_0x_0)</f>
        <v>399815.39</v>
      </c>
      <c r="Q149" s="2"/>
      <c r="R149" s="6">
        <f t="shared" si="32"/>
        <v>6.1613126722750093E-2</v>
      </c>
      <c r="S149" s="2"/>
      <c r="T149" s="2">
        <f>SUM(OSRRefT22_0x_0)</f>
        <v>387927.62</v>
      </c>
      <c r="U149" s="2"/>
      <c r="V149" s="6">
        <f t="shared" si="33"/>
        <v>6.8408524055233635E-2</v>
      </c>
      <c r="W149" s="2"/>
      <c r="X149" s="2">
        <f t="shared" si="34"/>
        <v>11887.770000000019</v>
      </c>
      <c r="Y149" s="2"/>
      <c r="Z149" s="6">
        <f t="shared" si="35"/>
        <v>3.0644299057643844E-2</v>
      </c>
    </row>
    <row r="150" spans="1:26" s="69" customFormat="1" ht="15" hidden="1" customHeight="1" outlineLevel="2" x14ac:dyDescent="0.3">
      <c r="A150" s="26"/>
      <c r="B150" s="12" t="str">
        <f>CONCATENATE("          ","6111"," - ","F.I.C.A.")</f>
        <v xml:space="preserve">          6111 - F.I.C.A.</v>
      </c>
      <c r="C150" s="12"/>
      <c r="D150" s="8">
        <v>8627.36</v>
      </c>
      <c r="E150" s="3"/>
      <c r="F150" s="7">
        <f t="shared" si="28"/>
        <v>9.0812873298675711E-3</v>
      </c>
      <c r="G150" s="3"/>
      <c r="H150" s="8">
        <v>7990.37</v>
      </c>
      <c r="I150" s="3"/>
      <c r="J150" s="7">
        <f t="shared" si="29"/>
        <v>2.0552683657504543E-2</v>
      </c>
      <c r="K150" s="3"/>
      <c r="L150" s="8">
        <f t="shared" si="30"/>
        <v>636.99000000000069</v>
      </c>
      <c r="M150" s="3"/>
      <c r="N150" s="7">
        <f t="shared" si="31"/>
        <v>7.9719712604047213E-2</v>
      </c>
      <c r="O150" s="12"/>
      <c r="P150" s="8">
        <v>75348.09</v>
      </c>
      <c r="Q150" s="3"/>
      <c r="R150" s="7">
        <f t="shared" si="32"/>
        <v>1.1611437512415864E-2</v>
      </c>
      <c r="S150" s="3"/>
      <c r="T150" s="8">
        <v>75278.679999999993</v>
      </c>
      <c r="U150" s="3"/>
      <c r="V150" s="7">
        <f t="shared" si="33"/>
        <v>1.3274907807869506E-2</v>
      </c>
      <c r="W150" s="3"/>
      <c r="X150" s="8">
        <f t="shared" si="34"/>
        <v>69.410000000003492</v>
      </c>
      <c r="Y150" s="3"/>
      <c r="Z150" s="7">
        <f t="shared" si="35"/>
        <v>9.2204060963879144E-4</v>
      </c>
    </row>
    <row r="151" spans="1:26" s="69" customFormat="1" ht="15" hidden="1" customHeight="1" outlineLevel="2" x14ac:dyDescent="0.3">
      <c r="A151" s="26"/>
      <c r="B151" s="12" t="str">
        <f>CONCATENATE("          ","6112"," - ","COMPENSATION INSURANCE")</f>
        <v xml:space="preserve">          6112 - COMPENSATION INSURANCE</v>
      </c>
      <c r="C151" s="12"/>
      <c r="D151" s="8">
        <v>2898.31</v>
      </c>
      <c r="E151" s="3"/>
      <c r="F151" s="7">
        <f t="shared" si="28"/>
        <v>3.0508041719632048E-3</v>
      </c>
      <c r="G151" s="3"/>
      <c r="H151" s="8">
        <v>1917.8</v>
      </c>
      <c r="I151" s="3"/>
      <c r="J151" s="7">
        <f t="shared" si="29"/>
        <v>4.9329301044084579E-3</v>
      </c>
      <c r="K151" s="3"/>
      <c r="L151" s="8">
        <f t="shared" si="30"/>
        <v>980.51</v>
      </c>
      <c r="M151" s="3"/>
      <c r="N151" s="7">
        <f t="shared" si="31"/>
        <v>0.51126811972051311</v>
      </c>
      <c r="O151" s="12"/>
      <c r="P151" s="8">
        <v>21040.15</v>
      </c>
      <c r="Q151" s="3"/>
      <c r="R151" s="7">
        <f t="shared" si="32"/>
        <v>3.2423700053558976E-3</v>
      </c>
      <c r="S151" s="3"/>
      <c r="T151" s="8">
        <v>19436.09</v>
      </c>
      <c r="U151" s="3"/>
      <c r="V151" s="7">
        <f t="shared" si="33"/>
        <v>3.4274286278060998E-3</v>
      </c>
      <c r="W151" s="3"/>
      <c r="X151" s="8">
        <f t="shared" si="34"/>
        <v>1604.0600000000013</v>
      </c>
      <c r="Y151" s="3"/>
      <c r="Z151" s="7">
        <f t="shared" si="35"/>
        <v>8.2529973878491064E-2</v>
      </c>
    </row>
    <row r="152" spans="1:26" s="69" customFormat="1" ht="15" hidden="1" customHeight="1" outlineLevel="2" x14ac:dyDescent="0.3">
      <c r="A152" s="26"/>
      <c r="B152" s="12" t="str">
        <f>CONCATENATE("          ","6113"," - ","GROUP INSURANCE")</f>
        <v xml:space="preserve">          6113 - GROUP INSURANCE</v>
      </c>
      <c r="C152" s="12"/>
      <c r="D152" s="8">
        <v>15712.81</v>
      </c>
      <c r="E152" s="3"/>
      <c r="F152" s="7">
        <f t="shared" si="28"/>
        <v>1.6539537282507795E-2</v>
      </c>
      <c r="G152" s="3"/>
      <c r="H152" s="8">
        <v>19341.650000000001</v>
      </c>
      <c r="I152" s="3"/>
      <c r="J152" s="7">
        <f t="shared" si="29"/>
        <v>4.9750238582715545E-2</v>
      </c>
      <c r="K152" s="3"/>
      <c r="L152" s="8">
        <f t="shared" si="30"/>
        <v>-3628.840000000002</v>
      </c>
      <c r="M152" s="3"/>
      <c r="N152" s="7">
        <f t="shared" si="31"/>
        <v>-0.18761791263930439</v>
      </c>
      <c r="O152" s="12"/>
      <c r="P152" s="8">
        <v>142862.67000000001</v>
      </c>
      <c r="Q152" s="3"/>
      <c r="R152" s="7">
        <f t="shared" si="32"/>
        <v>2.2015700272719436E-2</v>
      </c>
      <c r="S152" s="3"/>
      <c r="T152" s="8">
        <v>136628.26999999999</v>
      </c>
      <c r="U152" s="3"/>
      <c r="V152" s="7">
        <f t="shared" si="33"/>
        <v>2.409351078152145E-2</v>
      </c>
      <c r="W152" s="3"/>
      <c r="X152" s="8">
        <f t="shared" si="34"/>
        <v>6234.4000000000233</v>
      </c>
      <c r="Y152" s="3"/>
      <c r="Z152" s="7">
        <f t="shared" si="35"/>
        <v>4.5630380886766873E-2</v>
      </c>
    </row>
    <row r="153" spans="1:26" s="69" customFormat="1" ht="15" hidden="1" customHeight="1" outlineLevel="2" x14ac:dyDescent="0.3">
      <c r="A153" s="26"/>
      <c r="B153" s="12" t="str">
        <f>CONCATENATE("          ","6114"," - ","STATE UNEMPLOYMENT INSURANCE")</f>
        <v xml:space="preserve">          6114 - STATE UNEMPLOYMENT INSURANCE</v>
      </c>
      <c r="C153" s="12"/>
      <c r="D153" s="8">
        <v>524.58000000000004</v>
      </c>
      <c r="E153" s="3"/>
      <c r="F153" s="7">
        <f t="shared" si="28"/>
        <v>5.5218070272967977E-4</v>
      </c>
      <c r="G153" s="3"/>
      <c r="H153" s="8">
        <v>334.74</v>
      </c>
      <c r="I153" s="3"/>
      <c r="J153" s="7">
        <f t="shared" si="29"/>
        <v>8.6101210926566247E-4</v>
      </c>
      <c r="K153" s="3"/>
      <c r="L153" s="8">
        <f t="shared" si="30"/>
        <v>189.84000000000003</v>
      </c>
      <c r="M153" s="3"/>
      <c r="N153" s="7">
        <f t="shared" si="31"/>
        <v>0.56712672521957352</v>
      </c>
      <c r="O153" s="12"/>
      <c r="P153" s="8">
        <v>3793.14</v>
      </c>
      <c r="Q153" s="3"/>
      <c r="R153" s="7">
        <f t="shared" si="32"/>
        <v>5.8453781755907956E-4</v>
      </c>
      <c r="S153" s="3"/>
      <c r="T153" s="8">
        <v>3110.28</v>
      </c>
      <c r="U153" s="3"/>
      <c r="V153" s="7">
        <f t="shared" si="33"/>
        <v>5.484777397353458E-4</v>
      </c>
      <c r="W153" s="3"/>
      <c r="X153" s="8">
        <f t="shared" si="34"/>
        <v>682.85999999999967</v>
      </c>
      <c r="Y153" s="3"/>
      <c r="Z153" s="7">
        <f t="shared" si="35"/>
        <v>0.21954936533045244</v>
      </c>
    </row>
    <row r="154" spans="1:26" s="69" customFormat="1" ht="15" hidden="1" customHeight="1" outlineLevel="2" x14ac:dyDescent="0.3">
      <c r="A154" s="26"/>
      <c r="B154" s="12" t="str">
        <f>CONCATENATE("          ","6115"," - ","P.E.R.S.")</f>
        <v xml:space="preserve">          6115 - P.E.R.S.</v>
      </c>
      <c r="C154" s="12"/>
      <c r="D154" s="8">
        <v>7044.52</v>
      </c>
      <c r="E154" s="3"/>
      <c r="F154" s="7">
        <f t="shared" si="28"/>
        <v>7.4151664264617096E-3</v>
      </c>
      <c r="G154" s="3"/>
      <c r="H154" s="8">
        <v>6467.86</v>
      </c>
      <c r="I154" s="3"/>
      <c r="J154" s="7">
        <f t="shared" si="29"/>
        <v>1.6636511265564338E-2</v>
      </c>
      <c r="K154" s="3"/>
      <c r="L154" s="8">
        <f t="shared" si="30"/>
        <v>576.66000000000076</v>
      </c>
      <c r="M154" s="3"/>
      <c r="N154" s="7">
        <f t="shared" si="31"/>
        <v>8.9157773977791843E-2</v>
      </c>
      <c r="O154" s="12"/>
      <c r="P154" s="8">
        <v>56171.01</v>
      </c>
      <c r="Q154" s="3"/>
      <c r="R154" s="7">
        <f t="shared" si="32"/>
        <v>8.6561739338619822E-3</v>
      </c>
      <c r="S154" s="3"/>
      <c r="T154" s="8">
        <v>57404.49</v>
      </c>
      <c r="U154" s="3"/>
      <c r="V154" s="7">
        <f t="shared" si="33"/>
        <v>1.0122910132161817E-2</v>
      </c>
      <c r="W154" s="3"/>
      <c r="X154" s="8">
        <f t="shared" si="34"/>
        <v>-1233.4799999999959</v>
      </c>
      <c r="Y154" s="3"/>
      <c r="Z154" s="7">
        <f t="shared" si="35"/>
        <v>-2.1487517788242625E-2</v>
      </c>
    </row>
    <row r="155" spans="1:26" s="69" customFormat="1" ht="15" hidden="1" customHeight="1" outlineLevel="2" x14ac:dyDescent="0.3">
      <c r="A155" s="26"/>
      <c r="B155" s="12" t="str">
        <f>CONCATENATE("          ","6116"," - ","EDUCATIONAL BENEFITS")</f>
        <v xml:space="preserve">          6116 - EDUCATIONAL BENEFITS</v>
      </c>
      <c r="C155" s="12"/>
      <c r="D155" s="8"/>
      <c r="E155" s="3"/>
      <c r="F155" s="7">
        <f t="shared" si="28"/>
        <v>0</v>
      </c>
      <c r="G155" s="3"/>
      <c r="H155" s="8"/>
      <c r="I155" s="3"/>
      <c r="J155" s="7">
        <f t="shared" si="29"/>
        <v>0</v>
      </c>
      <c r="K155" s="3"/>
      <c r="L155" s="8">
        <f t="shared" si="30"/>
        <v>0</v>
      </c>
      <c r="M155" s="3"/>
      <c r="N155" s="7">
        <f t="shared" si="31"/>
        <v>0</v>
      </c>
      <c r="O155" s="12"/>
      <c r="P155" s="8"/>
      <c r="Q155" s="3"/>
      <c r="R155" s="7">
        <f t="shared" si="32"/>
        <v>0</v>
      </c>
      <c r="S155" s="3"/>
      <c r="T155" s="8">
        <v>0</v>
      </c>
      <c r="U155" s="3"/>
      <c r="V155" s="7">
        <f t="shared" si="33"/>
        <v>0</v>
      </c>
      <c r="W155" s="3"/>
      <c r="X155" s="8">
        <f t="shared" si="34"/>
        <v>0</v>
      </c>
      <c r="Y155" s="3"/>
      <c r="Z155" s="7">
        <f t="shared" si="35"/>
        <v>0</v>
      </c>
    </row>
    <row r="156" spans="1:26" s="69" customFormat="1" ht="15" hidden="1" customHeight="1" outlineLevel="2" x14ac:dyDescent="0.3">
      <c r="A156" s="26"/>
      <c r="B156" s="12" t="str">
        <f>CONCATENATE("          ","6117"," - ","RETIREMENT STAFF HOURLY")</f>
        <v xml:space="preserve">          6117 - RETIREMENT STAFF HOURLY</v>
      </c>
      <c r="C156" s="12"/>
      <c r="D156" s="8">
        <v>821.53</v>
      </c>
      <c r="E156" s="3"/>
      <c r="F156" s="7">
        <f t="shared" si="28"/>
        <v>8.6475468510715961E-4</v>
      </c>
      <c r="G156" s="3"/>
      <c r="H156" s="8">
        <v>685.38</v>
      </c>
      <c r="I156" s="3"/>
      <c r="J156" s="7">
        <f t="shared" si="29"/>
        <v>1.7629219078941856E-3</v>
      </c>
      <c r="K156" s="3"/>
      <c r="L156" s="8">
        <f t="shared" si="30"/>
        <v>136.14999999999998</v>
      </c>
      <c r="M156" s="3"/>
      <c r="N156" s="7">
        <f t="shared" si="31"/>
        <v>0.1986489246841168</v>
      </c>
      <c r="O156" s="12"/>
      <c r="P156" s="8">
        <v>5247.25</v>
      </c>
      <c r="Q156" s="3"/>
      <c r="R156" s="7">
        <f t="shared" si="32"/>
        <v>8.0862189721098631E-4</v>
      </c>
      <c r="S156" s="3"/>
      <c r="T156" s="8">
        <v>4207.46</v>
      </c>
      <c r="U156" s="3"/>
      <c r="V156" s="7">
        <f t="shared" si="33"/>
        <v>7.4195832877646951E-4</v>
      </c>
      <c r="W156" s="3"/>
      <c r="X156" s="8">
        <f t="shared" si="34"/>
        <v>1039.79</v>
      </c>
      <c r="Y156" s="3"/>
      <c r="Z156" s="7">
        <f t="shared" si="35"/>
        <v>0.24713009749349962</v>
      </c>
    </row>
    <row r="157" spans="1:26" s="69" customFormat="1" ht="15" hidden="1" customHeight="1" outlineLevel="2" x14ac:dyDescent="0.3">
      <c r="A157" s="26"/>
      <c r="B157" s="12" t="str">
        <f>CONCATENATE("          ","6118"," - ","VACATION")</f>
        <v xml:space="preserve">          6118 - VACATION</v>
      </c>
      <c r="C157" s="12"/>
      <c r="D157" s="8">
        <v>8519.75</v>
      </c>
      <c r="E157" s="3"/>
      <c r="F157" s="7">
        <f t="shared" si="28"/>
        <v>8.9680154448915118E-3</v>
      </c>
      <c r="G157" s="3"/>
      <c r="H157" s="8">
        <v>5692.2</v>
      </c>
      <c r="I157" s="3"/>
      <c r="J157" s="7">
        <f t="shared" si="29"/>
        <v>1.4641372791904174E-2</v>
      </c>
      <c r="K157" s="3"/>
      <c r="L157" s="8">
        <f t="shared" si="30"/>
        <v>2827.55</v>
      </c>
      <c r="M157" s="3"/>
      <c r="N157" s="7">
        <f t="shared" si="31"/>
        <v>0.49674115456238366</v>
      </c>
      <c r="O157" s="12"/>
      <c r="P157" s="8">
        <v>53859.15</v>
      </c>
      <c r="Q157" s="3"/>
      <c r="R157" s="7">
        <f t="shared" si="32"/>
        <v>8.2999071999944919E-3</v>
      </c>
      <c r="S157" s="3"/>
      <c r="T157" s="8">
        <v>45714.09</v>
      </c>
      <c r="U157" s="3"/>
      <c r="V157" s="7">
        <f t="shared" si="33"/>
        <v>8.0613837845011273E-3</v>
      </c>
      <c r="W157" s="3"/>
      <c r="X157" s="8">
        <f t="shared" si="34"/>
        <v>8145.0600000000049</v>
      </c>
      <c r="Y157" s="3"/>
      <c r="Z157" s="7">
        <f t="shared" si="35"/>
        <v>0.17817395030722488</v>
      </c>
    </row>
    <row r="158" spans="1:26" s="69" customFormat="1" ht="15" hidden="1" customHeight="1" outlineLevel="2" x14ac:dyDescent="0.3">
      <c r="A158" s="26"/>
      <c r="B158" s="12" t="str">
        <f>CONCATENATE("          ","6119"," - ","SICK LEAVE")</f>
        <v xml:space="preserve">          6119 - SICK LEAVE</v>
      </c>
      <c r="C158" s="12"/>
      <c r="D158" s="8">
        <v>-22282.799999999999</v>
      </c>
      <c r="E158" s="3"/>
      <c r="F158" s="7">
        <f t="shared" si="28"/>
        <v>-2.3455206379932342E-2</v>
      </c>
      <c r="G158" s="3"/>
      <c r="H158" s="8">
        <v>4091.66</v>
      </c>
      <c r="I158" s="3"/>
      <c r="J158" s="7">
        <f t="shared" si="29"/>
        <v>1.0524493060279441E-2</v>
      </c>
      <c r="K158" s="3"/>
      <c r="L158" s="8">
        <f t="shared" si="30"/>
        <v>-26374.46</v>
      </c>
      <c r="M158" s="3"/>
      <c r="N158" s="7">
        <f t="shared" si="31"/>
        <v>-6.4459070401744034</v>
      </c>
      <c r="O158" s="12"/>
      <c r="P158" s="8">
        <v>18103.71</v>
      </c>
      <c r="Q158" s="3"/>
      <c r="R158" s="7">
        <f t="shared" si="32"/>
        <v>2.7898530328757929E-3</v>
      </c>
      <c r="S158" s="3"/>
      <c r="T158" s="8">
        <v>33364.03</v>
      </c>
      <c r="U158" s="3"/>
      <c r="V158" s="7">
        <f t="shared" si="33"/>
        <v>5.883530666969619E-3</v>
      </c>
      <c r="W158" s="3"/>
      <c r="X158" s="8">
        <f t="shared" si="34"/>
        <v>-15260.32</v>
      </c>
      <c r="Y158" s="3"/>
      <c r="Z158" s="7">
        <f t="shared" si="35"/>
        <v>-0.45738839103069984</v>
      </c>
    </row>
    <row r="159" spans="1:26" s="69" customFormat="1" ht="15" hidden="1" customHeight="1" outlineLevel="2" x14ac:dyDescent="0.3">
      <c r="A159" s="26"/>
      <c r="B159" s="12" t="str">
        <f>CONCATENATE("          ","6156"," - ","EMPLOYEE MEALS")</f>
        <v xml:space="preserve">          6156 - EMPLOYEE MEALS</v>
      </c>
      <c r="C159" s="12"/>
      <c r="D159" s="8">
        <v>3736.49</v>
      </c>
      <c r="E159" s="3"/>
      <c r="F159" s="7">
        <f t="shared" si="28"/>
        <v>3.9330848944725706E-3</v>
      </c>
      <c r="G159" s="3"/>
      <c r="H159" s="8">
        <v>1383.68</v>
      </c>
      <c r="I159" s="3"/>
      <c r="J159" s="7">
        <f t="shared" si="29"/>
        <v>3.5590764036228469E-3</v>
      </c>
      <c r="K159" s="3"/>
      <c r="L159" s="8">
        <f t="shared" si="30"/>
        <v>2352.8099999999995</v>
      </c>
      <c r="M159" s="3"/>
      <c r="N159" s="7">
        <f t="shared" si="31"/>
        <v>1.7004003815911188</v>
      </c>
      <c r="O159" s="12"/>
      <c r="P159" s="8">
        <v>23390.22</v>
      </c>
      <c r="Q159" s="3"/>
      <c r="R159" s="7">
        <f t="shared" si="32"/>
        <v>3.6045250507565595E-3</v>
      </c>
      <c r="S159" s="3"/>
      <c r="T159" s="8">
        <v>12784.23</v>
      </c>
      <c r="U159" s="3"/>
      <c r="V159" s="7">
        <f t="shared" si="33"/>
        <v>2.2544161858922022E-3</v>
      </c>
      <c r="W159" s="3"/>
      <c r="X159" s="8">
        <f t="shared" si="34"/>
        <v>10605.990000000002</v>
      </c>
      <c r="Y159" s="3"/>
      <c r="Z159" s="7">
        <f t="shared" si="35"/>
        <v>0.82961508045459142</v>
      </c>
    </row>
    <row r="160" spans="1:26" s="68" customFormat="1" ht="15" customHeight="1" outlineLevel="1" collapsed="1" x14ac:dyDescent="0.3">
      <c r="A160" s="25"/>
      <c r="B160" s="14" t="str">
        <f>CONCATENATE("     ","*Payroll                                          ")</f>
        <v xml:space="preserve">     *Payroll                                          </v>
      </c>
      <c r="C160" s="14"/>
      <c r="D160" s="2">
        <f>SUM(OSRRefD22_1x_0)</f>
        <v>195739.82000000004</v>
      </c>
      <c r="E160" s="2"/>
      <c r="F160" s="6">
        <f t="shared" si="28"/>
        <v>0.20603864302829128</v>
      </c>
      <c r="G160" s="2"/>
      <c r="H160" s="2">
        <f>SUM(OSRRefH22_1x_0)</f>
        <v>119631.72000000002</v>
      </c>
      <c r="I160" s="2"/>
      <c r="J160" s="6">
        <f t="shared" si="29"/>
        <v>0.3077145234279714</v>
      </c>
      <c r="K160" s="2"/>
      <c r="L160" s="2">
        <f t="shared" si="30"/>
        <v>76108.10000000002</v>
      </c>
      <c r="M160" s="2"/>
      <c r="N160" s="6">
        <f t="shared" si="31"/>
        <v>0.63618662341392407</v>
      </c>
      <c r="O160" s="14"/>
      <c r="P160" s="2">
        <f>SUM(OSRRefP22_1x_0)</f>
        <v>1415838.6300000001</v>
      </c>
      <c r="Q160" s="2"/>
      <c r="R160" s="6">
        <f t="shared" si="32"/>
        <v>0.2181863107599607</v>
      </c>
      <c r="S160" s="2"/>
      <c r="T160" s="2">
        <f>SUM(OSRRefT22_1x_0)</f>
        <v>1072060.8400000001</v>
      </c>
      <c r="U160" s="2"/>
      <c r="V160" s="6">
        <f t="shared" si="33"/>
        <v>0.18905098781523727</v>
      </c>
      <c r="W160" s="2"/>
      <c r="X160" s="2">
        <f t="shared" si="34"/>
        <v>343777.79000000004</v>
      </c>
      <c r="Y160" s="2"/>
      <c r="Z160" s="6">
        <f t="shared" si="35"/>
        <v>0.32067003771912794</v>
      </c>
    </row>
    <row r="161" spans="1:26" s="69" customFormat="1" ht="15" hidden="1" customHeight="1" outlineLevel="2" x14ac:dyDescent="0.3">
      <c r="A161" s="26"/>
      <c r="B161" s="12" t="str">
        <f>CONCATENATE("          ","6001"," - ","ADMINISTRATIVE SALARIES")</f>
        <v xml:space="preserve">          6001 - ADMINISTRATIVE SALARIES</v>
      </c>
      <c r="C161" s="12"/>
      <c r="D161" s="8">
        <v>7265.35</v>
      </c>
      <c r="E161" s="3"/>
      <c r="F161" s="7">
        <f t="shared" si="28"/>
        <v>7.6476153657727688E-3</v>
      </c>
      <c r="G161" s="3"/>
      <c r="H161" s="8">
        <v>4280.74</v>
      </c>
      <c r="I161" s="3"/>
      <c r="J161" s="7">
        <f t="shared" si="29"/>
        <v>1.1010841180073764E-2</v>
      </c>
      <c r="K161" s="3"/>
      <c r="L161" s="8">
        <f t="shared" si="30"/>
        <v>2984.6100000000006</v>
      </c>
      <c r="M161" s="3"/>
      <c r="N161" s="7">
        <f t="shared" si="31"/>
        <v>0.69721823796820193</v>
      </c>
      <c r="O161" s="12"/>
      <c r="P161" s="8">
        <v>40957.550000000003</v>
      </c>
      <c r="Q161" s="3"/>
      <c r="R161" s="7">
        <f t="shared" si="32"/>
        <v>6.3117198124948946E-3</v>
      </c>
      <c r="S161" s="3"/>
      <c r="T161" s="8">
        <v>34496.589999999997</v>
      </c>
      <c r="U161" s="3"/>
      <c r="V161" s="7">
        <f t="shared" si="33"/>
        <v>6.0832502899343232E-3</v>
      </c>
      <c r="W161" s="3"/>
      <c r="X161" s="8">
        <f t="shared" si="34"/>
        <v>6460.9600000000064</v>
      </c>
      <c r="Y161" s="3"/>
      <c r="Z161" s="7">
        <f t="shared" si="35"/>
        <v>0.1872927150190789</v>
      </c>
    </row>
    <row r="162" spans="1:26" s="69" customFormat="1" ht="15" hidden="1" customHeight="1" outlineLevel="2" x14ac:dyDescent="0.3">
      <c r="A162" s="26"/>
      <c r="B162" s="12" t="str">
        <f>CONCATENATE("          ","6002"," - ","STAFF SALARIES")</f>
        <v xml:space="preserve">          6002 - STAFF SALARIES</v>
      </c>
      <c r="C162" s="12"/>
      <c r="D162" s="8">
        <v>64793.51</v>
      </c>
      <c r="E162" s="3"/>
      <c r="F162" s="7">
        <f t="shared" si="28"/>
        <v>6.8202611392204307E-2</v>
      </c>
      <c r="G162" s="3"/>
      <c r="H162" s="8">
        <v>62628.89</v>
      </c>
      <c r="I162" s="3"/>
      <c r="J162" s="7">
        <f t="shared" si="29"/>
        <v>0.16109288606042646</v>
      </c>
      <c r="K162" s="3"/>
      <c r="L162" s="8">
        <f t="shared" si="30"/>
        <v>2164.6200000000026</v>
      </c>
      <c r="M162" s="3"/>
      <c r="N162" s="7">
        <f t="shared" si="31"/>
        <v>3.4562643533998488E-2</v>
      </c>
      <c r="O162" s="12"/>
      <c r="P162" s="8">
        <v>483074.68</v>
      </c>
      <c r="Q162" s="3"/>
      <c r="R162" s="7">
        <f t="shared" si="32"/>
        <v>7.4443711322347922E-2</v>
      </c>
      <c r="S162" s="3"/>
      <c r="T162" s="8">
        <v>493547.99</v>
      </c>
      <c r="U162" s="3"/>
      <c r="V162" s="7">
        <f t="shared" si="33"/>
        <v>8.7033992439948499E-2</v>
      </c>
      <c r="W162" s="3"/>
      <c r="X162" s="8">
        <f t="shared" si="34"/>
        <v>-10473.309999999998</v>
      </c>
      <c r="Y162" s="3"/>
      <c r="Z162" s="7">
        <f t="shared" si="35"/>
        <v>-2.1220449099590089E-2</v>
      </c>
    </row>
    <row r="163" spans="1:26" s="69" customFormat="1" ht="15" hidden="1" customHeight="1" outlineLevel="2" x14ac:dyDescent="0.3">
      <c r="A163" s="26"/>
      <c r="B163" s="12" t="str">
        <f>CONCATENATE("          ","6004"," - ","STAFF HOURLY")</f>
        <v xml:space="preserve">          6004 - STAFF HOURLY</v>
      </c>
      <c r="C163" s="12"/>
      <c r="D163" s="8">
        <v>35616.870000000003</v>
      </c>
      <c r="E163" s="3"/>
      <c r="F163" s="7">
        <f t="shared" si="28"/>
        <v>3.7490846592763069E-2</v>
      </c>
      <c r="G163" s="3"/>
      <c r="H163" s="8">
        <v>19090.79</v>
      </c>
      <c r="I163" s="3"/>
      <c r="J163" s="7">
        <f t="shared" si="29"/>
        <v>4.9104981076201877E-2</v>
      </c>
      <c r="K163" s="3"/>
      <c r="L163" s="8">
        <f t="shared" si="30"/>
        <v>16526.080000000002</v>
      </c>
      <c r="M163" s="3"/>
      <c r="N163" s="7">
        <f t="shared" si="31"/>
        <v>0.8656572095759264</v>
      </c>
      <c r="O163" s="12"/>
      <c r="P163" s="8">
        <v>210302.57</v>
      </c>
      <c r="Q163" s="3"/>
      <c r="R163" s="7">
        <f t="shared" si="32"/>
        <v>3.2408454550811615E-2</v>
      </c>
      <c r="S163" s="3"/>
      <c r="T163" s="8">
        <v>153792.59</v>
      </c>
      <c r="U163" s="3"/>
      <c r="V163" s="7">
        <f t="shared" si="33"/>
        <v>2.7120327478955184E-2</v>
      </c>
      <c r="W163" s="3"/>
      <c r="X163" s="8">
        <f t="shared" si="34"/>
        <v>56509.98000000001</v>
      </c>
      <c r="Y163" s="3"/>
      <c r="Z163" s="7">
        <f t="shared" si="35"/>
        <v>0.36744280072271368</v>
      </c>
    </row>
    <row r="164" spans="1:26" s="69" customFormat="1" ht="15" hidden="1" customHeight="1" outlineLevel="2" x14ac:dyDescent="0.3">
      <c r="A164" s="26"/>
      <c r="B164" s="12" t="str">
        <f>CONCATENATE("          ","6005"," - ","TEMPORARY WAGES-HOURLY")</f>
        <v xml:space="preserve">          6005 - TEMPORARY WAGES-HOURLY</v>
      </c>
      <c r="C164" s="12"/>
      <c r="D164" s="8">
        <v>9430.6299999999992</v>
      </c>
      <c r="E164" s="3"/>
      <c r="F164" s="7">
        <f t="shared" si="28"/>
        <v>9.9268212676495472E-3</v>
      </c>
      <c r="G164" s="3"/>
      <c r="H164" s="8">
        <v>12213.85</v>
      </c>
      <c r="I164" s="3"/>
      <c r="J164" s="7">
        <f t="shared" si="29"/>
        <v>3.1416241712237593E-2</v>
      </c>
      <c r="K164" s="3"/>
      <c r="L164" s="8">
        <f t="shared" si="30"/>
        <v>-2783.2200000000012</v>
      </c>
      <c r="M164" s="3"/>
      <c r="N164" s="7">
        <f t="shared" si="31"/>
        <v>-0.22787409375422174</v>
      </c>
      <c r="O164" s="12"/>
      <c r="P164" s="8">
        <v>77595.89</v>
      </c>
      <c r="Q164" s="3"/>
      <c r="R164" s="7">
        <f t="shared" si="32"/>
        <v>1.1957832347910811E-2</v>
      </c>
      <c r="S164" s="3"/>
      <c r="T164" s="8">
        <v>122408.07</v>
      </c>
      <c r="U164" s="3"/>
      <c r="V164" s="7">
        <f t="shared" si="33"/>
        <v>2.1585870583666417E-2</v>
      </c>
      <c r="W164" s="3"/>
      <c r="X164" s="8">
        <f t="shared" si="34"/>
        <v>-44812.180000000008</v>
      </c>
      <c r="Y164" s="3"/>
      <c r="Z164" s="7">
        <f t="shared" si="35"/>
        <v>-0.36608844498569421</v>
      </c>
    </row>
    <row r="165" spans="1:26" s="69" customFormat="1" ht="15" hidden="1" customHeight="1" outlineLevel="2" x14ac:dyDescent="0.3">
      <c r="A165" s="26"/>
      <c r="B165" s="12" t="str">
        <f>CONCATENATE("          ","6006"," - ","TEMPORARY PART TIME")</f>
        <v xml:space="preserve">          6006 - TEMPORARY PART TIME</v>
      </c>
      <c r="C165" s="12"/>
      <c r="D165" s="8">
        <v>2310.4</v>
      </c>
      <c r="E165" s="3"/>
      <c r="F165" s="7">
        <f t="shared" si="28"/>
        <v>2.4319613702136035E-3</v>
      </c>
      <c r="G165" s="3"/>
      <c r="H165" s="8">
        <v>2042.44</v>
      </c>
      <c r="I165" s="3"/>
      <c r="J165" s="7">
        <f t="shared" si="29"/>
        <v>5.253526834105752E-3</v>
      </c>
      <c r="K165" s="3"/>
      <c r="L165" s="8">
        <f t="shared" si="30"/>
        <v>267.96000000000004</v>
      </c>
      <c r="M165" s="3"/>
      <c r="N165" s="7">
        <f t="shared" si="31"/>
        <v>0.13119602044613307</v>
      </c>
      <c r="O165" s="12"/>
      <c r="P165" s="8">
        <v>14280.37</v>
      </c>
      <c r="Q165" s="3"/>
      <c r="R165" s="7">
        <f t="shared" si="32"/>
        <v>2.2006612763399596E-3</v>
      </c>
      <c r="S165" s="3"/>
      <c r="T165" s="8">
        <v>12030.4</v>
      </c>
      <c r="U165" s="3"/>
      <c r="V165" s="7">
        <f t="shared" si="33"/>
        <v>2.1214831462479595E-3</v>
      </c>
      <c r="W165" s="3"/>
      <c r="X165" s="8">
        <f t="shared" si="34"/>
        <v>2249.9700000000012</v>
      </c>
      <c r="Y165" s="3"/>
      <c r="Z165" s="7">
        <f t="shared" si="35"/>
        <v>0.18702370660992162</v>
      </c>
    </row>
    <row r="166" spans="1:26" s="69" customFormat="1" ht="15" hidden="1" customHeight="1" outlineLevel="2" x14ac:dyDescent="0.3">
      <c r="A166" s="26"/>
      <c r="B166" s="12" t="str">
        <f>CONCATENATE("          ","6007"," - ","STUDENT HOURLY")</f>
        <v xml:space="preserve">          6007 - STUDENT HOURLY</v>
      </c>
      <c r="C166" s="12"/>
      <c r="D166" s="8">
        <v>61454.89</v>
      </c>
      <c r="E166" s="3"/>
      <c r="F166" s="7">
        <f t="shared" si="28"/>
        <v>6.4688330371678621E-2</v>
      </c>
      <c r="G166" s="3"/>
      <c r="H166" s="8">
        <v>18251.09</v>
      </c>
      <c r="I166" s="3"/>
      <c r="J166" s="7">
        <f t="shared" si="29"/>
        <v>4.6945120085133053E-2</v>
      </c>
      <c r="K166" s="3"/>
      <c r="L166" s="8">
        <f t="shared" si="30"/>
        <v>43203.8</v>
      </c>
      <c r="M166" s="3"/>
      <c r="N166" s="7">
        <f t="shared" si="31"/>
        <v>2.3671901239871156</v>
      </c>
      <c r="O166" s="12"/>
      <c r="P166" s="8">
        <v>505662.49</v>
      </c>
      <c r="Q166" s="3"/>
      <c r="R166" s="7">
        <f t="shared" si="32"/>
        <v>7.7924581830907877E-2</v>
      </c>
      <c r="S166" s="3"/>
      <c r="T166" s="8">
        <v>248485.95</v>
      </c>
      <c r="U166" s="3"/>
      <c r="V166" s="7">
        <f t="shared" si="33"/>
        <v>4.3818888399755049E-2</v>
      </c>
      <c r="W166" s="3"/>
      <c r="X166" s="8">
        <f t="shared" si="34"/>
        <v>257176.53999999998</v>
      </c>
      <c r="Y166" s="3"/>
      <c r="Z166" s="7">
        <f t="shared" si="35"/>
        <v>1.034974170571817</v>
      </c>
    </row>
    <row r="167" spans="1:26" s="69" customFormat="1" ht="15" hidden="1" customHeight="1" outlineLevel="2" x14ac:dyDescent="0.3">
      <c r="A167" s="26"/>
      <c r="B167" s="12" t="str">
        <f>CONCATENATE("          ","6008"," - ","STUDENT HOURLY-FICA EXEMPT")</f>
        <v xml:space="preserve">          6008 - STUDENT HOURLY-FICA EXEMPT</v>
      </c>
      <c r="C167" s="12"/>
      <c r="D167" s="8">
        <v>14868.17</v>
      </c>
      <c r="E167" s="3"/>
      <c r="F167" s="7">
        <f t="shared" si="28"/>
        <v>1.5650456668009346E-2</v>
      </c>
      <c r="G167" s="3"/>
      <c r="H167" s="8">
        <v>1123.92</v>
      </c>
      <c r="I167" s="3"/>
      <c r="J167" s="7">
        <f t="shared" si="29"/>
        <v>2.8909264797928641E-3</v>
      </c>
      <c r="K167" s="3"/>
      <c r="L167" s="8">
        <f t="shared" si="30"/>
        <v>13744.25</v>
      </c>
      <c r="M167" s="3"/>
      <c r="N167" s="7">
        <f t="shared" si="31"/>
        <v>12.228850807886682</v>
      </c>
      <c r="O167" s="12"/>
      <c r="P167" s="8">
        <v>83965.08</v>
      </c>
      <c r="Q167" s="3"/>
      <c r="R167" s="7">
        <f t="shared" si="32"/>
        <v>1.2939349619147601E-2</v>
      </c>
      <c r="S167" s="3"/>
      <c r="T167" s="8">
        <v>7299.25</v>
      </c>
      <c r="U167" s="3"/>
      <c r="V167" s="7">
        <f t="shared" si="33"/>
        <v>1.2871754767298192E-3</v>
      </c>
      <c r="W167" s="3"/>
      <c r="X167" s="8">
        <f t="shared" si="34"/>
        <v>76665.83</v>
      </c>
      <c r="Y167" s="3"/>
      <c r="Z167" s="7">
        <f t="shared" si="35"/>
        <v>10.503247593930883</v>
      </c>
    </row>
    <row r="168" spans="1:26" s="68" customFormat="1" ht="15" customHeight="1" outlineLevel="1" collapsed="1" x14ac:dyDescent="0.3">
      <c r="A168" s="25"/>
      <c r="B168" s="14" t="str">
        <f>CONCATENATE("     ","Advertising/Promo                                 ")</f>
        <v xml:space="preserve">     Advertising/Promo                                 </v>
      </c>
      <c r="C168" s="14"/>
      <c r="D168" s="2">
        <f>SUM(OSRRefD22_2x_0)</f>
        <v>396.83</v>
      </c>
      <c r="E168" s="2"/>
      <c r="F168" s="6">
        <f t="shared" si="28"/>
        <v>4.1770915449353542E-4</v>
      </c>
      <c r="G168" s="2"/>
      <c r="H168" s="2">
        <f>SUM(OSRRefH22_2x_0)</f>
        <v>114.65</v>
      </c>
      <c r="I168" s="2"/>
      <c r="J168" s="6">
        <f t="shared" si="29"/>
        <v>2.9490063430515686E-4</v>
      </c>
      <c r="K168" s="2"/>
      <c r="L168" s="2">
        <f t="shared" si="30"/>
        <v>282.17999999999995</v>
      </c>
      <c r="M168" s="2"/>
      <c r="N168" s="6">
        <f t="shared" si="31"/>
        <v>2.4612298299171385</v>
      </c>
      <c r="O168" s="14"/>
      <c r="P168" s="2">
        <f>SUM(OSRRefP22_2x_0)</f>
        <v>6820.86</v>
      </c>
      <c r="Q168" s="2"/>
      <c r="R168" s="6">
        <f t="shared" si="32"/>
        <v>1.0511213976483926E-3</v>
      </c>
      <c r="S168" s="2"/>
      <c r="T168" s="2">
        <f>SUM(OSRRefT22_2x_0)</f>
        <v>16747.72</v>
      </c>
      <c r="U168" s="2"/>
      <c r="V168" s="6">
        <f t="shared" si="33"/>
        <v>2.9533519848117997E-3</v>
      </c>
      <c r="W168" s="2"/>
      <c r="X168" s="2">
        <f t="shared" si="34"/>
        <v>-9926.86</v>
      </c>
      <c r="Y168" s="2"/>
      <c r="Z168" s="6">
        <f t="shared" si="35"/>
        <v>-0.59272904013202987</v>
      </c>
    </row>
    <row r="169" spans="1:26" s="69" customFormat="1" ht="15" hidden="1" customHeight="1" outlineLevel="2" x14ac:dyDescent="0.3">
      <c r="A169" s="26"/>
      <c r="B169" s="12" t="str">
        <f>CONCATENATE("          ","6362"," - ","ADVERTISING EXPENSE")</f>
        <v xml:space="preserve">          6362 - ADVERTISING EXPENSE</v>
      </c>
      <c r="C169" s="12"/>
      <c r="D169" s="8">
        <v>396.83</v>
      </c>
      <c r="E169" s="3"/>
      <c r="F169" s="7">
        <f t="shared" si="28"/>
        <v>4.1770915449353542E-4</v>
      </c>
      <c r="G169" s="3"/>
      <c r="H169" s="8">
        <v>114.65</v>
      </c>
      <c r="I169" s="3"/>
      <c r="J169" s="7">
        <f t="shared" si="29"/>
        <v>2.9490063430515686E-4</v>
      </c>
      <c r="K169" s="3"/>
      <c r="L169" s="8">
        <f t="shared" si="30"/>
        <v>282.17999999999995</v>
      </c>
      <c r="M169" s="3"/>
      <c r="N169" s="7">
        <f t="shared" si="31"/>
        <v>2.4612298299171385</v>
      </c>
      <c r="O169" s="12"/>
      <c r="P169" s="8">
        <v>6820.86</v>
      </c>
      <c r="Q169" s="3"/>
      <c r="R169" s="7">
        <f t="shared" si="32"/>
        <v>1.0511213976483926E-3</v>
      </c>
      <c r="S169" s="3"/>
      <c r="T169" s="8">
        <v>16747.72</v>
      </c>
      <c r="U169" s="3"/>
      <c r="V169" s="7">
        <f t="shared" si="33"/>
        <v>2.9533519848117997E-3</v>
      </c>
      <c r="W169" s="3"/>
      <c r="X169" s="8">
        <f t="shared" si="34"/>
        <v>-9926.86</v>
      </c>
      <c r="Y169" s="3"/>
      <c r="Z169" s="7">
        <f t="shared" si="35"/>
        <v>-0.59272904013202987</v>
      </c>
    </row>
    <row r="170" spans="1:26" s="68" customFormat="1" ht="15" customHeight="1" outlineLevel="1" collapsed="1" x14ac:dyDescent="0.3">
      <c r="A170" s="25"/>
      <c r="B170" s="14" t="str">
        <f>CONCATENATE("     ","Bad Debts/Over/Short                              ")</f>
        <v xml:space="preserve">     Bad Debts/Over/Short                              </v>
      </c>
      <c r="C170" s="14"/>
      <c r="D170" s="2">
        <f>SUM(OSRRefD22_3x_0)</f>
        <v>-51.1</v>
      </c>
      <c r="E170" s="2"/>
      <c r="F170" s="6">
        <f t="shared" si="28"/>
        <v>-5.378861929445773E-5</v>
      </c>
      <c r="G170" s="2"/>
      <c r="H170" s="2">
        <f>SUM(OSRRefH22_3x_0)</f>
        <v>3282.4</v>
      </c>
      <c r="I170" s="2"/>
      <c r="J170" s="6">
        <f t="shared" si="29"/>
        <v>8.4429292807958727E-3</v>
      </c>
      <c r="K170" s="2"/>
      <c r="L170" s="2">
        <f t="shared" si="30"/>
        <v>-3333.5</v>
      </c>
      <c r="M170" s="2"/>
      <c r="N170" s="6">
        <f t="shared" si="31"/>
        <v>-1.0155678771630514</v>
      </c>
      <c r="O170" s="14"/>
      <c r="P170" s="2">
        <f>SUM(OSRRefP22_3x_0)</f>
        <v>99.68</v>
      </c>
      <c r="Q170" s="2"/>
      <c r="R170" s="6">
        <f t="shared" si="32"/>
        <v>1.5361080702080351E-5</v>
      </c>
      <c r="S170" s="2"/>
      <c r="T170" s="2">
        <f>SUM(OSRRefT22_3x_0)</f>
        <v>5200.46</v>
      </c>
      <c r="U170" s="2"/>
      <c r="V170" s="6">
        <f t="shared" si="33"/>
        <v>9.1706744935635251E-4</v>
      </c>
      <c r="W170" s="2"/>
      <c r="X170" s="2">
        <f t="shared" si="34"/>
        <v>-5100.78</v>
      </c>
      <c r="Y170" s="2"/>
      <c r="Z170" s="6">
        <f t="shared" si="35"/>
        <v>-0.98083246482041964</v>
      </c>
    </row>
    <row r="171" spans="1:26" s="69" customFormat="1" ht="15" hidden="1" customHeight="1" outlineLevel="2" x14ac:dyDescent="0.3">
      <c r="A171" s="26"/>
      <c r="B171" s="12" t="str">
        <f>CONCATENATE("          ","6272"," - ","CASH (OVER/SHORT)")</f>
        <v xml:space="preserve">          6272 - CASH (OVER/SHORT)</v>
      </c>
      <c r="C171" s="12"/>
      <c r="D171" s="8">
        <v>-51.1</v>
      </c>
      <c r="E171" s="3"/>
      <c r="F171" s="7">
        <f t="shared" si="28"/>
        <v>-5.378861929445773E-5</v>
      </c>
      <c r="G171" s="3"/>
      <c r="H171" s="8">
        <v>-70.239999999999995</v>
      </c>
      <c r="I171" s="3"/>
      <c r="J171" s="7">
        <f t="shared" si="29"/>
        <v>-1.8067004407844932E-4</v>
      </c>
      <c r="K171" s="3"/>
      <c r="L171" s="8">
        <f t="shared" si="30"/>
        <v>19.139999999999993</v>
      </c>
      <c r="M171" s="3"/>
      <c r="N171" s="7">
        <f t="shared" si="31"/>
        <v>-0.27249430523917989</v>
      </c>
      <c r="O171" s="12"/>
      <c r="P171" s="8">
        <v>99.68</v>
      </c>
      <c r="Q171" s="3"/>
      <c r="R171" s="7">
        <f t="shared" si="32"/>
        <v>1.5361080702080351E-5</v>
      </c>
      <c r="S171" s="3"/>
      <c r="T171" s="8">
        <v>-148.96</v>
      </c>
      <c r="U171" s="3"/>
      <c r="V171" s="7">
        <f t="shared" si="33"/>
        <v>-2.6268131522235008E-5</v>
      </c>
      <c r="W171" s="3"/>
      <c r="X171" s="8">
        <f t="shared" si="34"/>
        <v>248.64000000000001</v>
      </c>
      <c r="Y171" s="3"/>
      <c r="Z171" s="7">
        <f t="shared" si="35"/>
        <v>-1.6691729323308271</v>
      </c>
    </row>
    <row r="172" spans="1:26" s="69" customFormat="1" ht="15" hidden="1" customHeight="1" outlineLevel="2" x14ac:dyDescent="0.3">
      <c r="A172" s="26"/>
      <c r="B172" s="12" t="str">
        <f>CONCATENATE("          ","6342"," - ","BAD DEBT")</f>
        <v xml:space="preserve">          6342 - BAD DEBT</v>
      </c>
      <c r="C172" s="12"/>
      <c r="D172" s="8"/>
      <c r="E172" s="3"/>
      <c r="F172" s="7">
        <f t="shared" si="28"/>
        <v>0</v>
      </c>
      <c r="G172" s="3"/>
      <c r="H172" s="8">
        <v>3352.64</v>
      </c>
      <c r="I172" s="3"/>
      <c r="J172" s="7">
        <f t="shared" si="29"/>
        <v>8.623599324874321E-3</v>
      </c>
      <c r="K172" s="3"/>
      <c r="L172" s="8">
        <f t="shared" si="30"/>
        <v>-3352.64</v>
      </c>
      <c r="M172" s="3"/>
      <c r="N172" s="7">
        <f t="shared" si="31"/>
        <v>-1</v>
      </c>
      <c r="O172" s="12"/>
      <c r="P172" s="8"/>
      <c r="Q172" s="3"/>
      <c r="R172" s="7">
        <f t="shared" si="32"/>
        <v>0</v>
      </c>
      <c r="S172" s="3"/>
      <c r="T172" s="8">
        <v>5349.42</v>
      </c>
      <c r="U172" s="3"/>
      <c r="V172" s="7">
        <f t="shared" si="33"/>
        <v>9.4333558087858753E-4</v>
      </c>
      <c r="W172" s="3"/>
      <c r="X172" s="8">
        <f t="shared" si="34"/>
        <v>-5349.42</v>
      </c>
      <c r="Y172" s="3"/>
      <c r="Z172" s="7">
        <f t="shared" si="35"/>
        <v>-1</v>
      </c>
    </row>
    <row r="173" spans="1:26" s="68" customFormat="1" ht="15" customHeight="1" outlineLevel="1" collapsed="1" x14ac:dyDescent="0.3">
      <c r="A173" s="25"/>
      <c r="B173" s="14" t="str">
        <f>CONCATENATE("     ","Bank/card Fees                                    ")</f>
        <v xml:space="preserve">     Bank/card Fees                                    </v>
      </c>
      <c r="C173" s="14"/>
      <c r="D173" s="2">
        <f>SUM(OSRRefD22_4x_0)</f>
        <v>15661.69</v>
      </c>
      <c r="E173" s="2"/>
      <c r="F173" s="6">
        <f t="shared" si="28"/>
        <v>1.648572761091616E-2</v>
      </c>
      <c r="G173" s="2"/>
      <c r="H173" s="2">
        <f>SUM(OSRRefH22_4x_0)</f>
        <v>3756.42</v>
      </c>
      <c r="I173" s="2"/>
      <c r="J173" s="6">
        <f t="shared" si="29"/>
        <v>9.6621948601533121E-3</v>
      </c>
      <c r="K173" s="2"/>
      <c r="L173" s="2">
        <f t="shared" si="30"/>
        <v>11905.27</v>
      </c>
      <c r="M173" s="2"/>
      <c r="N173" s="6">
        <f t="shared" si="31"/>
        <v>3.1693128031476778</v>
      </c>
      <c r="O173" s="14"/>
      <c r="P173" s="2">
        <f>SUM(OSRRefP22_4x_0)</f>
        <v>95284.82</v>
      </c>
      <c r="Q173" s="2"/>
      <c r="R173" s="6">
        <f t="shared" si="32"/>
        <v>1.4683766148707865E-2</v>
      </c>
      <c r="S173" s="2"/>
      <c r="T173" s="2">
        <f>SUM(OSRRefT22_4x_0)</f>
        <v>65501.08</v>
      </c>
      <c r="U173" s="2"/>
      <c r="V173" s="6">
        <f t="shared" si="33"/>
        <v>1.1550691355319798E-2</v>
      </c>
      <c r="W173" s="2"/>
      <c r="X173" s="2">
        <f t="shared" si="34"/>
        <v>29783.740000000005</v>
      </c>
      <c r="Y173" s="2"/>
      <c r="Z173" s="6">
        <f t="shared" si="35"/>
        <v>0.45470609034232723</v>
      </c>
    </row>
    <row r="174" spans="1:26" s="69" customFormat="1" ht="15" hidden="1" customHeight="1" outlineLevel="2" x14ac:dyDescent="0.3">
      <c r="A174" s="26"/>
      <c r="B174" s="12" t="str">
        <f>CONCATENATE("          ","6381"," - ","BANK/CREDIT CARD FEES")</f>
        <v xml:space="preserve">          6381 - BANK/CREDIT CARD FEES</v>
      </c>
      <c r="C174" s="12"/>
      <c r="D174" s="8">
        <v>15661.69</v>
      </c>
      <c r="E174" s="3"/>
      <c r="F174" s="7">
        <f t="shared" si="28"/>
        <v>1.648572761091616E-2</v>
      </c>
      <c r="G174" s="3"/>
      <c r="H174" s="8">
        <v>3756.42</v>
      </c>
      <c r="I174" s="3"/>
      <c r="J174" s="7">
        <f t="shared" si="29"/>
        <v>9.6621948601533121E-3</v>
      </c>
      <c r="K174" s="3"/>
      <c r="L174" s="8">
        <f t="shared" si="30"/>
        <v>11905.27</v>
      </c>
      <c r="M174" s="3"/>
      <c r="N174" s="7">
        <f t="shared" si="31"/>
        <v>3.1693128031476778</v>
      </c>
      <c r="O174" s="12"/>
      <c r="P174" s="8">
        <v>95284.82</v>
      </c>
      <c r="Q174" s="3"/>
      <c r="R174" s="7">
        <f t="shared" si="32"/>
        <v>1.4683766148707865E-2</v>
      </c>
      <c r="S174" s="3"/>
      <c r="T174" s="8">
        <v>65501.08</v>
      </c>
      <c r="U174" s="3"/>
      <c r="V174" s="7">
        <f t="shared" si="33"/>
        <v>1.1550691355319798E-2</v>
      </c>
      <c r="W174" s="3"/>
      <c r="X174" s="8">
        <f t="shared" si="34"/>
        <v>29783.740000000005</v>
      </c>
      <c r="Y174" s="3"/>
      <c r="Z174" s="7">
        <f t="shared" si="35"/>
        <v>0.45470609034232723</v>
      </c>
    </row>
    <row r="175" spans="1:26" s="68" customFormat="1" ht="15" customHeight="1" outlineLevel="1" collapsed="1" x14ac:dyDescent="0.3">
      <c r="A175" s="25"/>
      <c r="B175" s="14" t="str">
        <f>CONCATENATE("     ","Depreciation                                      ")</f>
        <v xml:space="preserve">     Depreciation                                      </v>
      </c>
      <c r="C175" s="14"/>
      <c r="D175" s="2">
        <f>SUM(OSRRefD22_5x_0)</f>
        <v>27820.48</v>
      </c>
      <c r="E175" s="2"/>
      <c r="F175" s="6">
        <f t="shared" si="28"/>
        <v>2.9284250632271532E-2</v>
      </c>
      <c r="G175" s="2"/>
      <c r="H175" s="2">
        <f>SUM(OSRRefH22_5x_0)</f>
        <v>31016.29</v>
      </c>
      <c r="I175" s="2"/>
      <c r="J175" s="6">
        <f t="shared" si="29"/>
        <v>7.9779534189207954E-2</v>
      </c>
      <c r="K175" s="2"/>
      <c r="L175" s="2">
        <f t="shared" si="30"/>
        <v>-3195.8100000000013</v>
      </c>
      <c r="M175" s="2"/>
      <c r="N175" s="6">
        <f t="shared" si="31"/>
        <v>-0.10303650114181939</v>
      </c>
      <c r="O175" s="14"/>
      <c r="P175" s="2">
        <f>SUM(OSRRefP22_5x_0)</f>
        <v>242140.08000000002</v>
      </c>
      <c r="Q175" s="2"/>
      <c r="R175" s="6">
        <f t="shared" si="32"/>
        <v>3.7314740269745107E-2</v>
      </c>
      <c r="S175" s="2"/>
      <c r="T175" s="2">
        <f>SUM(OSRRefT22_5x_0)</f>
        <v>248425.81</v>
      </c>
      <c r="U175" s="2"/>
      <c r="V175" s="6">
        <f t="shared" si="33"/>
        <v>4.380828310014611E-2</v>
      </c>
      <c r="W175" s="2"/>
      <c r="X175" s="2">
        <f t="shared" si="34"/>
        <v>-6285.7299999999814</v>
      </c>
      <c r="Y175" s="2"/>
      <c r="Z175" s="6">
        <f t="shared" si="35"/>
        <v>-2.530224214625679E-2</v>
      </c>
    </row>
    <row r="176" spans="1:26" s="69" customFormat="1" ht="15" hidden="1" customHeight="1" outlineLevel="2" x14ac:dyDescent="0.3">
      <c r="A176" s="26"/>
      <c r="B176" s="12" t="str">
        <f>CONCATENATE("          ","6321"," - ","BUILDING DEPRECIATION")</f>
        <v xml:space="preserve">          6321 - BUILDING DEPRECIATION</v>
      </c>
      <c r="C176" s="12"/>
      <c r="D176" s="8">
        <v>13321.71</v>
      </c>
      <c r="E176" s="3"/>
      <c r="F176" s="7">
        <f t="shared" si="28"/>
        <v>1.4022629893173589E-2</v>
      </c>
      <c r="G176" s="3"/>
      <c r="H176" s="8">
        <v>16396.52</v>
      </c>
      <c r="I176" s="3"/>
      <c r="J176" s="7">
        <f t="shared" si="29"/>
        <v>4.2174829030939297E-2</v>
      </c>
      <c r="K176" s="3"/>
      <c r="L176" s="8">
        <f t="shared" si="30"/>
        <v>-3074.8100000000013</v>
      </c>
      <c r="M176" s="3"/>
      <c r="N176" s="7">
        <f t="shared" si="31"/>
        <v>-0.18752820720494356</v>
      </c>
      <c r="O176" s="12"/>
      <c r="P176" s="8">
        <v>125832.42</v>
      </c>
      <c r="Q176" s="3"/>
      <c r="R176" s="7">
        <f t="shared" si="32"/>
        <v>1.9391271654876297E-2</v>
      </c>
      <c r="S176" s="3"/>
      <c r="T176" s="8">
        <v>131172.16</v>
      </c>
      <c r="U176" s="3"/>
      <c r="V176" s="7">
        <f t="shared" si="33"/>
        <v>2.3131361109933229E-2</v>
      </c>
      <c r="W176" s="3"/>
      <c r="X176" s="8">
        <f t="shared" si="34"/>
        <v>-5339.7400000000052</v>
      </c>
      <c r="Y176" s="3"/>
      <c r="Z176" s="7">
        <f t="shared" si="35"/>
        <v>-4.0707875817551566E-2</v>
      </c>
    </row>
    <row r="177" spans="1:26" s="69" customFormat="1" ht="15" hidden="1" customHeight="1" outlineLevel="2" x14ac:dyDescent="0.3">
      <c r="A177" s="26"/>
      <c r="B177" s="12" t="str">
        <f>CONCATENATE("          ","6322"," - ","EQUIPMENT DEPRECIATION EXPENSE")</f>
        <v xml:space="preserve">          6322 - EQUIPMENT DEPRECIATION EXPENSE</v>
      </c>
      <c r="C177" s="12"/>
      <c r="D177" s="8">
        <v>14498.77</v>
      </c>
      <c r="E177" s="3"/>
      <c r="F177" s="7">
        <f t="shared" si="28"/>
        <v>1.5261620739097943E-2</v>
      </c>
      <c r="G177" s="3"/>
      <c r="H177" s="8">
        <v>14619.77</v>
      </c>
      <c r="I177" s="3"/>
      <c r="J177" s="7">
        <f t="shared" si="29"/>
        <v>3.7604705158268664E-2</v>
      </c>
      <c r="K177" s="3"/>
      <c r="L177" s="8">
        <f t="shared" si="30"/>
        <v>-121</v>
      </c>
      <c r="M177" s="3"/>
      <c r="N177" s="7">
        <f t="shared" si="31"/>
        <v>-8.2764639936195976E-3</v>
      </c>
      <c r="O177" s="12"/>
      <c r="P177" s="8">
        <v>116307.66</v>
      </c>
      <c r="Q177" s="3"/>
      <c r="R177" s="7">
        <f t="shared" si="32"/>
        <v>1.7923468614868807E-2</v>
      </c>
      <c r="S177" s="3"/>
      <c r="T177" s="8">
        <v>117253.65</v>
      </c>
      <c r="U177" s="3"/>
      <c r="V177" s="7">
        <f t="shared" si="33"/>
        <v>2.0676921990212881E-2</v>
      </c>
      <c r="W177" s="3"/>
      <c r="X177" s="8">
        <f t="shared" si="34"/>
        <v>-945.98999999999069</v>
      </c>
      <c r="Y177" s="3"/>
      <c r="Z177" s="7">
        <f t="shared" si="35"/>
        <v>-8.0678938352877778E-3</v>
      </c>
    </row>
    <row r="178" spans="1:26" s="68" customFormat="1" ht="15" customHeight="1" outlineLevel="1" collapsed="1" x14ac:dyDescent="0.3">
      <c r="A178" s="25"/>
      <c r="B178" s="14" t="str">
        <f>CONCATENATE("     ","Discounts and Markdowns                           ")</f>
        <v xml:space="preserve">     Discounts and Markdowns                           </v>
      </c>
      <c r="C178" s="14"/>
      <c r="D178" s="2">
        <f>SUM(OSRRefD22_6x_0)</f>
        <v>0</v>
      </c>
      <c r="E178" s="2"/>
      <c r="F178" s="6">
        <f t="shared" si="28"/>
        <v>0</v>
      </c>
      <c r="G178" s="2"/>
      <c r="H178" s="2">
        <f>SUM(OSRRefH22_6x_0)</f>
        <v>42.86</v>
      </c>
      <c r="I178" s="2"/>
      <c r="J178" s="6">
        <f t="shared" si="29"/>
        <v>1.102437085592588E-4</v>
      </c>
      <c r="K178" s="2"/>
      <c r="L178" s="2">
        <f t="shared" si="30"/>
        <v>-42.86</v>
      </c>
      <c r="M178" s="2"/>
      <c r="N178" s="6">
        <f t="shared" si="31"/>
        <v>-1</v>
      </c>
      <c r="O178" s="14"/>
      <c r="P178" s="2">
        <f>SUM(OSRRefP22_6x_0)</f>
        <v>2064.5499999999997</v>
      </c>
      <c r="Q178" s="2"/>
      <c r="R178" s="6">
        <f t="shared" si="32"/>
        <v>3.18155288558186E-4</v>
      </c>
      <c r="S178" s="2"/>
      <c r="T178" s="2">
        <f>SUM(OSRRefT22_6x_0)</f>
        <v>0</v>
      </c>
      <c r="U178" s="2"/>
      <c r="V178" s="6">
        <f t="shared" si="33"/>
        <v>0</v>
      </c>
      <c r="W178" s="2"/>
      <c r="X178" s="2">
        <f t="shared" si="34"/>
        <v>2064.5499999999997</v>
      </c>
      <c r="Y178" s="2"/>
      <c r="Z178" s="6">
        <f t="shared" si="35"/>
        <v>0</v>
      </c>
    </row>
    <row r="179" spans="1:26" s="69" customFormat="1" ht="15" hidden="1" customHeight="1" outlineLevel="2" x14ac:dyDescent="0.3">
      <c r="A179" s="26"/>
      <c r="B179" s="12" t="str">
        <f>CONCATENATE("          ","6382"," - ","DISCOUNTS/MARK DOWNS")</f>
        <v xml:space="preserve">          6382 - DISCOUNTS/MARK DOWNS</v>
      </c>
      <c r="C179" s="12"/>
      <c r="D179" s="8"/>
      <c r="E179" s="3"/>
      <c r="F179" s="7">
        <f t="shared" si="28"/>
        <v>0</v>
      </c>
      <c r="G179" s="3"/>
      <c r="H179" s="8">
        <v>0</v>
      </c>
      <c r="I179" s="3"/>
      <c r="J179" s="7">
        <f t="shared" si="29"/>
        <v>0</v>
      </c>
      <c r="K179" s="3"/>
      <c r="L179" s="8">
        <f t="shared" si="30"/>
        <v>0</v>
      </c>
      <c r="M179" s="3"/>
      <c r="N179" s="7">
        <f t="shared" si="31"/>
        <v>0</v>
      </c>
      <c r="O179" s="12"/>
      <c r="P179" s="8">
        <v>2171.35</v>
      </c>
      <c r="Q179" s="3"/>
      <c r="R179" s="7">
        <f t="shared" si="32"/>
        <v>3.3461358931041496E-4</v>
      </c>
      <c r="S179" s="3"/>
      <c r="T179" s="8">
        <v>0</v>
      </c>
      <c r="U179" s="3"/>
      <c r="V179" s="7">
        <f t="shared" si="33"/>
        <v>0</v>
      </c>
      <c r="W179" s="3"/>
      <c r="X179" s="8">
        <f t="shared" si="34"/>
        <v>2171.35</v>
      </c>
      <c r="Y179" s="3"/>
      <c r="Z179" s="7">
        <f t="shared" si="35"/>
        <v>0</v>
      </c>
    </row>
    <row r="180" spans="1:26" s="69" customFormat="1" ht="15" hidden="1" customHeight="1" outlineLevel="2" x14ac:dyDescent="0.3">
      <c r="A180" s="26"/>
      <c r="B180" s="12" t="str">
        <f>CONCATENATE("          ","9175"," - ","EARNED DISCOUNTS")</f>
        <v xml:space="preserve">          9175 - EARNED DISCOUNTS</v>
      </c>
      <c r="C180" s="12"/>
      <c r="D180" s="8">
        <v>0</v>
      </c>
      <c r="E180" s="3"/>
      <c r="F180" s="7">
        <f t="shared" ref="F180:F211" si="36">IF(D$12=0,0,D180/D$12)</f>
        <v>0</v>
      </c>
      <c r="G180" s="3"/>
      <c r="H180" s="8">
        <v>42.86</v>
      </c>
      <c r="I180" s="3"/>
      <c r="J180" s="7">
        <f t="shared" ref="J180:J211" si="37">IF(H$12=0,0,H180/H$12)</f>
        <v>1.102437085592588E-4</v>
      </c>
      <c r="K180" s="3"/>
      <c r="L180" s="8">
        <f t="shared" ref="L180:L211" si="38">+D180-H180</f>
        <v>-42.86</v>
      </c>
      <c r="M180" s="3"/>
      <c r="N180" s="7">
        <f t="shared" ref="N180:N211" si="39">IF(H180=0,0,L180/H180)</f>
        <v>-1</v>
      </c>
      <c r="O180" s="12"/>
      <c r="P180" s="8">
        <v>-106.8</v>
      </c>
      <c r="Q180" s="3"/>
      <c r="R180" s="7">
        <f t="shared" ref="R180:R211" si="40">IF(P$12=0,0,P180/P$12)</f>
        <v>-1.6458300752228945E-5</v>
      </c>
      <c r="S180" s="3"/>
      <c r="T180" s="8">
        <v>0</v>
      </c>
      <c r="U180" s="3"/>
      <c r="V180" s="7">
        <f t="shared" ref="V180:V211" si="41">IF(T$12=0,0,T180/T$12)</f>
        <v>0</v>
      </c>
      <c r="W180" s="3"/>
      <c r="X180" s="8">
        <f t="shared" ref="X180:X211" si="42">+P180-T180</f>
        <v>-106.8</v>
      </c>
      <c r="Y180" s="3"/>
      <c r="Z180" s="7">
        <f t="shared" ref="Z180:Z211" si="43">IF(T180=0,0,X180/T180)</f>
        <v>0</v>
      </c>
    </row>
    <row r="181" spans="1:26" s="68" customFormat="1" ht="15" customHeight="1" outlineLevel="1" collapsed="1" x14ac:dyDescent="0.3">
      <c r="A181" s="25"/>
      <c r="B181" s="14" t="str">
        <f>CONCATENATE("     ","Donations                                         ")</f>
        <v xml:space="preserve">     Donations                                         </v>
      </c>
      <c r="C181" s="14"/>
      <c r="D181" s="2">
        <f>SUM(OSRRefD22_7x_0)</f>
        <v>2998.05</v>
      </c>
      <c r="E181" s="2"/>
      <c r="F181" s="6">
        <f t="shared" si="36"/>
        <v>3.1557919779990019E-3</v>
      </c>
      <c r="G181" s="2"/>
      <c r="H181" s="2">
        <f>SUM(OSRRefH22_7x_0)</f>
        <v>0</v>
      </c>
      <c r="I181" s="2"/>
      <c r="J181" s="6">
        <f t="shared" si="37"/>
        <v>0</v>
      </c>
      <c r="K181" s="2"/>
      <c r="L181" s="2">
        <f t="shared" si="38"/>
        <v>2998.05</v>
      </c>
      <c r="M181" s="2"/>
      <c r="N181" s="6">
        <f t="shared" si="39"/>
        <v>0</v>
      </c>
      <c r="O181" s="14"/>
      <c r="P181" s="2">
        <f>SUM(OSRRefP22_7x_0)</f>
        <v>5818.27</v>
      </c>
      <c r="Q181" s="2"/>
      <c r="R181" s="6">
        <f t="shared" si="40"/>
        <v>8.9661832881714535E-4</v>
      </c>
      <c r="S181" s="2"/>
      <c r="T181" s="2">
        <f>SUM(OSRRefT22_7x_0)</f>
        <v>0</v>
      </c>
      <c r="U181" s="2"/>
      <c r="V181" s="6">
        <f t="shared" si="41"/>
        <v>0</v>
      </c>
      <c r="W181" s="2"/>
      <c r="X181" s="2">
        <f t="shared" si="42"/>
        <v>5818.27</v>
      </c>
      <c r="Y181" s="2"/>
      <c r="Z181" s="6">
        <f t="shared" si="43"/>
        <v>0</v>
      </c>
    </row>
    <row r="182" spans="1:26" s="69" customFormat="1" ht="15" hidden="1" customHeight="1" outlineLevel="2" x14ac:dyDescent="0.3">
      <c r="A182" s="26"/>
      <c r="B182" s="12" t="str">
        <f>CONCATENATE("          ","6399"," - ","DONATION-ON CAMPUS")</f>
        <v xml:space="preserve">          6399 - DONATION-ON CAMPUS</v>
      </c>
      <c r="C182" s="12"/>
      <c r="D182" s="8">
        <v>2998.05</v>
      </c>
      <c r="E182" s="3"/>
      <c r="F182" s="7">
        <f t="shared" si="36"/>
        <v>3.1557919779990019E-3</v>
      </c>
      <c r="G182" s="3"/>
      <c r="H182" s="8"/>
      <c r="I182" s="3"/>
      <c r="J182" s="7">
        <f t="shared" si="37"/>
        <v>0</v>
      </c>
      <c r="K182" s="3"/>
      <c r="L182" s="8">
        <f t="shared" si="38"/>
        <v>2998.05</v>
      </c>
      <c r="M182" s="3"/>
      <c r="N182" s="7">
        <f t="shared" si="39"/>
        <v>0</v>
      </c>
      <c r="O182" s="12"/>
      <c r="P182" s="8">
        <v>5818.27</v>
      </c>
      <c r="Q182" s="3"/>
      <c r="R182" s="7">
        <f t="shared" si="40"/>
        <v>8.9661832881714535E-4</v>
      </c>
      <c r="S182" s="3"/>
      <c r="T182" s="8"/>
      <c r="U182" s="3"/>
      <c r="V182" s="7">
        <f t="shared" si="41"/>
        <v>0</v>
      </c>
      <c r="W182" s="3"/>
      <c r="X182" s="8">
        <f t="shared" si="42"/>
        <v>5818.27</v>
      </c>
      <c r="Y182" s="3"/>
      <c r="Z182" s="7">
        <f t="shared" si="43"/>
        <v>0</v>
      </c>
    </row>
    <row r="183" spans="1:26" s="68" customFormat="1" ht="15" customHeight="1" outlineLevel="1" collapsed="1" x14ac:dyDescent="0.3">
      <c r="A183" s="25"/>
      <c r="B183" s="14" t="str">
        <f>CONCATENATE("     ","Employees' Appreciation                           ")</f>
        <v xml:space="preserve">     Employees' Appreciation                           </v>
      </c>
      <c r="C183" s="14"/>
      <c r="D183" s="2">
        <f>SUM(OSRRefD22_8x_0)</f>
        <v>0</v>
      </c>
      <c r="E183" s="2"/>
      <c r="F183" s="6">
        <f t="shared" si="36"/>
        <v>0</v>
      </c>
      <c r="G183" s="2"/>
      <c r="H183" s="2">
        <f>SUM(OSRRefH22_8x_0)</f>
        <v>0</v>
      </c>
      <c r="I183" s="2"/>
      <c r="J183" s="6">
        <f t="shared" si="37"/>
        <v>0</v>
      </c>
      <c r="K183" s="2"/>
      <c r="L183" s="2">
        <f t="shared" si="38"/>
        <v>0</v>
      </c>
      <c r="M183" s="2"/>
      <c r="N183" s="6">
        <f t="shared" si="39"/>
        <v>0</v>
      </c>
      <c r="O183" s="14"/>
      <c r="P183" s="2">
        <f>SUM(OSRRefP22_8x_0)</f>
        <v>4245.1899999999996</v>
      </c>
      <c r="Q183" s="2"/>
      <c r="R183" s="6">
        <f t="shared" si="40"/>
        <v>6.5420050346774153E-4</v>
      </c>
      <c r="S183" s="2"/>
      <c r="T183" s="2">
        <f>SUM(OSRRefT22_8x_0)</f>
        <v>186.03</v>
      </c>
      <c r="U183" s="2"/>
      <c r="V183" s="6">
        <f t="shared" si="41"/>
        <v>3.280518600350012E-5</v>
      </c>
      <c r="W183" s="2"/>
      <c r="X183" s="2">
        <f t="shared" si="42"/>
        <v>4059.1599999999994</v>
      </c>
      <c r="Y183" s="2"/>
      <c r="Z183" s="6">
        <f t="shared" si="43"/>
        <v>21.819921518034722</v>
      </c>
    </row>
    <row r="184" spans="1:26" s="69" customFormat="1" ht="15" hidden="1" customHeight="1" outlineLevel="2" x14ac:dyDescent="0.3">
      <c r="A184" s="26"/>
      <c r="B184" s="12" t="str">
        <f>CONCATENATE("          ","6277"," - ","EMPLOYEE APPRECIATION")</f>
        <v xml:space="preserve">          6277 - EMPLOYEE APPRECIATION</v>
      </c>
      <c r="C184" s="12"/>
      <c r="D184" s="8"/>
      <c r="E184" s="3"/>
      <c r="F184" s="7">
        <f t="shared" si="36"/>
        <v>0</v>
      </c>
      <c r="G184" s="3"/>
      <c r="H184" s="8">
        <v>0</v>
      </c>
      <c r="I184" s="3"/>
      <c r="J184" s="7">
        <f t="shared" si="37"/>
        <v>0</v>
      </c>
      <c r="K184" s="3"/>
      <c r="L184" s="8">
        <f t="shared" si="38"/>
        <v>0</v>
      </c>
      <c r="M184" s="3"/>
      <c r="N184" s="7">
        <f t="shared" si="39"/>
        <v>0</v>
      </c>
      <c r="O184" s="12"/>
      <c r="P184" s="8">
        <v>4245.1899999999996</v>
      </c>
      <c r="Q184" s="3"/>
      <c r="R184" s="7">
        <f t="shared" si="40"/>
        <v>6.5420050346774153E-4</v>
      </c>
      <c r="S184" s="3"/>
      <c r="T184" s="8">
        <v>186.03</v>
      </c>
      <c r="U184" s="3"/>
      <c r="V184" s="7">
        <f t="shared" si="41"/>
        <v>3.280518600350012E-5</v>
      </c>
      <c r="W184" s="3"/>
      <c r="X184" s="8">
        <f t="shared" si="42"/>
        <v>4059.1599999999994</v>
      </c>
      <c r="Y184" s="3"/>
      <c r="Z184" s="7">
        <f t="shared" si="43"/>
        <v>21.819921518034722</v>
      </c>
    </row>
    <row r="185" spans="1:26" s="68" customFormat="1" ht="15" customHeight="1" outlineLevel="1" collapsed="1" x14ac:dyDescent="0.3">
      <c r="A185" s="25"/>
      <c r="B185" s="14" t="str">
        <f>CONCATENATE("     ","Equipment Rental                                  ")</f>
        <v xml:space="preserve">     Equipment Rental                                  </v>
      </c>
      <c r="C185" s="14"/>
      <c r="D185" s="2">
        <f>SUM(OSRRefD22_9x_0)</f>
        <v>1388.16</v>
      </c>
      <c r="E185" s="2"/>
      <c r="F185" s="6">
        <f t="shared" si="36"/>
        <v>1.4611978426574256E-3</v>
      </c>
      <c r="G185" s="2"/>
      <c r="H185" s="2">
        <f>SUM(OSRRefH22_9x_0)</f>
        <v>1784.21</v>
      </c>
      <c r="I185" s="2"/>
      <c r="J185" s="6">
        <f t="shared" si="37"/>
        <v>4.5893123483087992E-3</v>
      </c>
      <c r="K185" s="2"/>
      <c r="L185" s="2">
        <f t="shared" si="38"/>
        <v>-396.04999999999995</v>
      </c>
      <c r="M185" s="2"/>
      <c r="N185" s="6">
        <f t="shared" si="39"/>
        <v>-0.22197499173303589</v>
      </c>
      <c r="O185" s="14"/>
      <c r="P185" s="2">
        <f>SUM(OSRRefP22_9x_0)</f>
        <v>12698.1</v>
      </c>
      <c r="Q185" s="2"/>
      <c r="R185" s="6">
        <f t="shared" si="40"/>
        <v>1.9568272357853782E-3</v>
      </c>
      <c r="S185" s="2"/>
      <c r="T185" s="2">
        <f>SUM(OSRRefT22_9x_0)</f>
        <v>12149.11</v>
      </c>
      <c r="U185" s="2"/>
      <c r="V185" s="6">
        <f t="shared" si="41"/>
        <v>2.14241688613118E-3</v>
      </c>
      <c r="W185" s="2"/>
      <c r="X185" s="2">
        <f t="shared" si="42"/>
        <v>548.98999999999978</v>
      </c>
      <c r="Y185" s="2"/>
      <c r="Z185" s="6">
        <f t="shared" si="43"/>
        <v>4.5187672183394485E-2</v>
      </c>
    </row>
    <row r="186" spans="1:26" s="69" customFormat="1" ht="15" hidden="1" customHeight="1" outlineLevel="2" x14ac:dyDescent="0.3">
      <c r="A186" s="26"/>
      <c r="B186" s="12" t="str">
        <f>CONCATENATE("          ","6351"," - ","EQUIPMENT RENTAL")</f>
        <v xml:space="preserve">          6351 - EQUIPMENT RENTAL</v>
      </c>
      <c r="C186" s="12"/>
      <c r="D186" s="8">
        <v>1388.16</v>
      </c>
      <c r="E186" s="3"/>
      <c r="F186" s="7">
        <f t="shared" si="36"/>
        <v>1.4611978426574256E-3</v>
      </c>
      <c r="G186" s="3"/>
      <c r="H186" s="8">
        <v>1784.21</v>
      </c>
      <c r="I186" s="3"/>
      <c r="J186" s="7">
        <f t="shared" si="37"/>
        <v>4.5893123483087992E-3</v>
      </c>
      <c r="K186" s="3"/>
      <c r="L186" s="8">
        <f t="shared" si="38"/>
        <v>-396.04999999999995</v>
      </c>
      <c r="M186" s="3"/>
      <c r="N186" s="7">
        <f t="shared" si="39"/>
        <v>-0.22197499173303589</v>
      </c>
      <c r="O186" s="12"/>
      <c r="P186" s="8">
        <v>12698.1</v>
      </c>
      <c r="Q186" s="3"/>
      <c r="R186" s="7">
        <f t="shared" si="40"/>
        <v>1.9568272357853782E-3</v>
      </c>
      <c r="S186" s="3"/>
      <c r="T186" s="8">
        <v>12149.11</v>
      </c>
      <c r="U186" s="3"/>
      <c r="V186" s="7">
        <f t="shared" si="41"/>
        <v>2.14241688613118E-3</v>
      </c>
      <c r="W186" s="3"/>
      <c r="X186" s="8">
        <f t="shared" si="42"/>
        <v>548.98999999999978</v>
      </c>
      <c r="Y186" s="3"/>
      <c r="Z186" s="7">
        <f t="shared" si="43"/>
        <v>4.5187672183394485E-2</v>
      </c>
    </row>
    <row r="187" spans="1:26" s="68" customFormat="1" ht="15" customHeight="1" outlineLevel="1" collapsed="1" x14ac:dyDescent="0.3">
      <c r="A187" s="25"/>
      <c r="B187" s="14" t="str">
        <f>CONCATENATE("     ","Freight out/Postage                               ")</f>
        <v xml:space="preserve">     Freight out/Postage                               </v>
      </c>
      <c r="C187" s="14"/>
      <c r="D187" s="2">
        <f>SUM(OSRRefD22_10x_0)</f>
        <v>-7059.8099999999995</v>
      </c>
      <c r="E187" s="2"/>
      <c r="F187" s="6">
        <f t="shared" si="36"/>
        <v>-7.431260907655687E-3</v>
      </c>
      <c r="G187" s="2"/>
      <c r="H187" s="2">
        <f>SUM(OSRRefH22_10x_0)</f>
        <v>4253.7100000000028</v>
      </c>
      <c r="I187" s="2"/>
      <c r="J187" s="6">
        <f t="shared" si="37"/>
        <v>1.0941315108156907E-2</v>
      </c>
      <c r="K187" s="2"/>
      <c r="L187" s="2">
        <f t="shared" si="38"/>
        <v>-11313.520000000002</v>
      </c>
      <c r="M187" s="2"/>
      <c r="N187" s="6">
        <f t="shared" si="39"/>
        <v>-2.6596829591109867</v>
      </c>
      <c r="O187" s="14"/>
      <c r="P187" s="2">
        <f>SUM(OSRRefP22_10x_0)</f>
        <v>-46385.78</v>
      </c>
      <c r="Q187" s="2"/>
      <c r="R187" s="6">
        <f t="shared" si="40"/>
        <v>-7.1482314406996856E-3</v>
      </c>
      <c r="S187" s="2"/>
      <c r="T187" s="2">
        <f>SUM(OSRRefT22_10x_0)</f>
        <v>-31571.569999999978</v>
      </c>
      <c r="U187" s="2"/>
      <c r="V187" s="6">
        <f t="shared" si="41"/>
        <v>-5.5674419516880272E-3</v>
      </c>
      <c r="W187" s="2"/>
      <c r="X187" s="2">
        <f t="shared" si="42"/>
        <v>-14814.210000000021</v>
      </c>
      <c r="Y187" s="2"/>
      <c r="Z187" s="6">
        <f t="shared" si="43"/>
        <v>0.46922626907689519</v>
      </c>
    </row>
    <row r="188" spans="1:26" s="69" customFormat="1" ht="15" hidden="1" customHeight="1" outlineLevel="2" x14ac:dyDescent="0.3">
      <c r="A188" s="26"/>
      <c r="B188" s="12" t="str">
        <f>CONCATENATE("          ","6305"," - ","FREIGHT OUT")</f>
        <v xml:space="preserve">          6305 - FREIGHT OUT</v>
      </c>
      <c r="C188" s="12"/>
      <c r="D188" s="8">
        <v>7594.99</v>
      </c>
      <c r="E188" s="3"/>
      <c r="F188" s="7">
        <f t="shared" si="36"/>
        <v>7.9945993278906745E-3</v>
      </c>
      <c r="G188" s="3"/>
      <c r="H188" s="8">
        <v>26266.240000000002</v>
      </c>
      <c r="I188" s="3"/>
      <c r="J188" s="7">
        <f t="shared" si="37"/>
        <v>6.7561542405682365E-2</v>
      </c>
      <c r="K188" s="3"/>
      <c r="L188" s="8">
        <f t="shared" si="38"/>
        <v>-18671.25</v>
      </c>
      <c r="M188" s="3"/>
      <c r="N188" s="7">
        <f t="shared" si="39"/>
        <v>-0.71084593759898629</v>
      </c>
      <c r="O188" s="12"/>
      <c r="P188" s="8">
        <v>101853.57</v>
      </c>
      <c r="Q188" s="3"/>
      <c r="R188" s="7">
        <f t="shared" si="40"/>
        <v>1.5696036402136741E-2</v>
      </c>
      <c r="S188" s="3"/>
      <c r="T188" s="8">
        <v>162736.95000000001</v>
      </c>
      <c r="U188" s="3"/>
      <c r="V188" s="7">
        <f t="shared" si="41"/>
        <v>2.8697607452520021E-2</v>
      </c>
      <c r="W188" s="3"/>
      <c r="X188" s="8">
        <f t="shared" si="42"/>
        <v>-60883.380000000005</v>
      </c>
      <c r="Y188" s="3"/>
      <c r="Z188" s="7">
        <f t="shared" si="43"/>
        <v>-0.3741214272480835</v>
      </c>
    </row>
    <row r="189" spans="1:26" s="69" customFormat="1" ht="15" hidden="1" customHeight="1" outlineLevel="2" x14ac:dyDescent="0.3">
      <c r="A189" s="26"/>
      <c r="B189" s="12" t="str">
        <f>CONCATENATE("          ","6307"," - ","POSTAGE")</f>
        <v xml:space="preserve">          6307 - POSTAGE</v>
      </c>
      <c r="C189" s="12"/>
      <c r="D189" s="8">
        <v>-14654.8</v>
      </c>
      <c r="E189" s="3"/>
      <c r="F189" s="7">
        <f t="shared" si="36"/>
        <v>-1.5425860235546362E-2</v>
      </c>
      <c r="G189" s="3"/>
      <c r="H189" s="8">
        <v>-22012.53</v>
      </c>
      <c r="I189" s="3"/>
      <c r="J189" s="7">
        <f t="shared" si="37"/>
        <v>-5.6620227297525451E-2</v>
      </c>
      <c r="K189" s="3"/>
      <c r="L189" s="8">
        <f t="shared" si="38"/>
        <v>7357.73</v>
      </c>
      <c r="M189" s="3"/>
      <c r="N189" s="7">
        <f t="shared" si="39"/>
        <v>-0.33425190107634151</v>
      </c>
      <c r="O189" s="12"/>
      <c r="P189" s="8">
        <v>-148239.35</v>
      </c>
      <c r="Q189" s="3"/>
      <c r="R189" s="7">
        <f t="shared" si="40"/>
        <v>-2.2844267842836424E-2</v>
      </c>
      <c r="S189" s="3"/>
      <c r="T189" s="8">
        <v>-194308.52</v>
      </c>
      <c r="U189" s="3"/>
      <c r="V189" s="7">
        <f t="shared" si="41"/>
        <v>-3.4265049404208048E-2</v>
      </c>
      <c r="W189" s="3"/>
      <c r="X189" s="8">
        <f t="shared" si="42"/>
        <v>46069.169999999984</v>
      </c>
      <c r="Y189" s="3"/>
      <c r="Z189" s="7">
        <f t="shared" si="43"/>
        <v>-0.23709289741901171</v>
      </c>
    </row>
    <row r="190" spans="1:26" s="68" customFormat="1" ht="15" customHeight="1" outlineLevel="1" collapsed="1" x14ac:dyDescent="0.3">
      <c r="A190" s="25"/>
      <c r="B190" s="14" t="str">
        <f>CONCATENATE("     ","General                                           ")</f>
        <v xml:space="preserve">     General                                           </v>
      </c>
      <c r="C190" s="14"/>
      <c r="D190" s="2">
        <f>SUM(OSRRefD22_11x_0)</f>
        <v>1424.16</v>
      </c>
      <c r="E190" s="2"/>
      <c r="F190" s="6">
        <f t="shared" si="36"/>
        <v>1.4990919775811139E-3</v>
      </c>
      <c r="G190" s="2"/>
      <c r="H190" s="2">
        <f>SUM(OSRRefH22_11x_0)</f>
        <v>-4.21</v>
      </c>
      <c r="I190" s="2"/>
      <c r="J190" s="6">
        <f t="shared" si="37"/>
        <v>-1.0828885045134846E-5</v>
      </c>
      <c r="K190" s="2"/>
      <c r="L190" s="2">
        <f t="shared" si="38"/>
        <v>1428.3700000000001</v>
      </c>
      <c r="M190" s="2"/>
      <c r="N190" s="6">
        <f t="shared" si="39"/>
        <v>-339.2802850356295</v>
      </c>
      <c r="O190" s="14"/>
      <c r="P190" s="2">
        <f>SUM(OSRRefP22_11x_0)</f>
        <v>5755.35</v>
      </c>
      <c r="Q190" s="2"/>
      <c r="R190" s="6">
        <f t="shared" si="40"/>
        <v>8.8692210893577593E-4</v>
      </c>
      <c r="S190" s="2"/>
      <c r="T190" s="2">
        <f>SUM(OSRRefT22_11x_0)</f>
        <v>2479.64</v>
      </c>
      <c r="U190" s="2"/>
      <c r="V190" s="6">
        <f t="shared" si="41"/>
        <v>4.3726845896747323E-4</v>
      </c>
      <c r="W190" s="2"/>
      <c r="X190" s="2">
        <f t="shared" si="42"/>
        <v>3275.7100000000005</v>
      </c>
      <c r="Y190" s="2"/>
      <c r="Z190" s="6">
        <f t="shared" si="43"/>
        <v>1.3210425706957465</v>
      </c>
    </row>
    <row r="191" spans="1:26" s="69" customFormat="1" ht="15" hidden="1" customHeight="1" outlineLevel="2" x14ac:dyDescent="0.3">
      <c r="A191" s="26"/>
      <c r="B191" s="12" t="str">
        <f>CONCATENATE("          ","6279"," - ","GENERAL EXPENSE")</f>
        <v xml:space="preserve">          6279 - GENERAL EXPENSE</v>
      </c>
      <c r="C191" s="12"/>
      <c r="D191" s="8">
        <v>1424.16</v>
      </c>
      <c r="E191" s="3"/>
      <c r="F191" s="7">
        <f t="shared" si="36"/>
        <v>1.4990919775811139E-3</v>
      </c>
      <c r="G191" s="3"/>
      <c r="H191" s="8">
        <v>-4.21</v>
      </c>
      <c r="I191" s="3"/>
      <c r="J191" s="7">
        <f t="shared" si="37"/>
        <v>-1.0828885045134846E-5</v>
      </c>
      <c r="K191" s="3"/>
      <c r="L191" s="8">
        <f t="shared" si="38"/>
        <v>1428.3700000000001</v>
      </c>
      <c r="M191" s="3"/>
      <c r="N191" s="7">
        <f t="shared" si="39"/>
        <v>-339.2802850356295</v>
      </c>
      <c r="O191" s="12"/>
      <c r="P191" s="8">
        <v>5755.35</v>
      </c>
      <c r="Q191" s="3"/>
      <c r="R191" s="7">
        <f t="shared" si="40"/>
        <v>8.8692210893577593E-4</v>
      </c>
      <c r="S191" s="3"/>
      <c r="T191" s="8">
        <v>2479.64</v>
      </c>
      <c r="U191" s="3"/>
      <c r="V191" s="7">
        <f t="shared" si="41"/>
        <v>4.3726845896747323E-4</v>
      </c>
      <c r="W191" s="3"/>
      <c r="X191" s="8">
        <f t="shared" si="42"/>
        <v>3275.7100000000005</v>
      </c>
      <c r="Y191" s="3"/>
      <c r="Z191" s="7">
        <f t="shared" si="43"/>
        <v>1.3210425706957465</v>
      </c>
    </row>
    <row r="192" spans="1:26" s="68" customFormat="1" ht="15" customHeight="1" outlineLevel="1" collapsed="1" x14ac:dyDescent="0.3">
      <c r="A192" s="25"/>
      <c r="B192" s="14" t="str">
        <f>CONCATENATE("     ","Insurance                                         ")</f>
        <v xml:space="preserve">     Insurance                                         </v>
      </c>
      <c r="C192" s="14"/>
      <c r="D192" s="2">
        <f>SUM(OSRRefD22_12x_0)</f>
        <v>5494.57</v>
      </c>
      <c r="E192" s="2"/>
      <c r="F192" s="6">
        <f t="shared" si="36"/>
        <v>5.7836660257680741E-3</v>
      </c>
      <c r="G192" s="2"/>
      <c r="H192" s="2">
        <f>SUM(OSRRefH22_12x_0)</f>
        <v>4044.74</v>
      </c>
      <c r="I192" s="2"/>
      <c r="J192" s="6">
        <f t="shared" si="37"/>
        <v>1.0403806293933187E-2</v>
      </c>
      <c r="K192" s="2"/>
      <c r="L192" s="2">
        <f t="shared" si="38"/>
        <v>1449.83</v>
      </c>
      <c r="M192" s="2"/>
      <c r="N192" s="6">
        <f t="shared" si="39"/>
        <v>0.35844825625380122</v>
      </c>
      <c r="O192" s="14"/>
      <c r="P192" s="2">
        <f>SUM(OSRRefP22_12x_0)</f>
        <v>43956.56</v>
      </c>
      <c r="Q192" s="2"/>
      <c r="R192" s="6">
        <f t="shared" si="40"/>
        <v>6.773879068477498E-3</v>
      </c>
      <c r="S192" s="2"/>
      <c r="T192" s="2">
        <f>SUM(OSRRefT22_12x_0)</f>
        <v>32357.919999999998</v>
      </c>
      <c r="U192" s="2"/>
      <c r="V192" s="6">
        <f t="shared" si="41"/>
        <v>5.7061096827736206E-3</v>
      </c>
      <c r="W192" s="2"/>
      <c r="X192" s="2">
        <f t="shared" si="42"/>
        <v>11598.64</v>
      </c>
      <c r="Y192" s="2"/>
      <c r="Z192" s="6">
        <f t="shared" si="43"/>
        <v>0.35844825625380122</v>
      </c>
    </row>
    <row r="193" spans="1:26" s="69" customFormat="1" ht="15" hidden="1" customHeight="1" outlineLevel="2" x14ac:dyDescent="0.3">
      <c r="A193" s="26"/>
      <c r="B193" s="12" t="str">
        <f>CONCATENATE("          ","6314"," - ","LIABILITY INSURANCE")</f>
        <v xml:space="preserve">          6314 - LIABILITY INSURANCE</v>
      </c>
      <c r="C193" s="12"/>
      <c r="D193" s="8">
        <v>5494.57</v>
      </c>
      <c r="E193" s="3"/>
      <c r="F193" s="7">
        <f t="shared" si="36"/>
        <v>5.7836660257680741E-3</v>
      </c>
      <c r="G193" s="3"/>
      <c r="H193" s="8">
        <v>4044.74</v>
      </c>
      <c r="I193" s="3"/>
      <c r="J193" s="7">
        <f t="shared" si="37"/>
        <v>1.0403806293933187E-2</v>
      </c>
      <c r="K193" s="3"/>
      <c r="L193" s="8">
        <f t="shared" si="38"/>
        <v>1449.83</v>
      </c>
      <c r="M193" s="3"/>
      <c r="N193" s="7">
        <f t="shared" si="39"/>
        <v>0.35844825625380122</v>
      </c>
      <c r="O193" s="12"/>
      <c r="P193" s="8">
        <v>43956.56</v>
      </c>
      <c r="Q193" s="3"/>
      <c r="R193" s="7">
        <f t="shared" si="40"/>
        <v>6.773879068477498E-3</v>
      </c>
      <c r="S193" s="3"/>
      <c r="T193" s="8">
        <v>32357.919999999998</v>
      </c>
      <c r="U193" s="3"/>
      <c r="V193" s="7">
        <f t="shared" si="41"/>
        <v>5.7061096827736206E-3</v>
      </c>
      <c r="W193" s="3"/>
      <c r="X193" s="8">
        <f t="shared" si="42"/>
        <v>11598.64</v>
      </c>
      <c r="Y193" s="3"/>
      <c r="Z193" s="7">
        <f t="shared" si="43"/>
        <v>0.35844825625380122</v>
      </c>
    </row>
    <row r="194" spans="1:26" s="68" customFormat="1" ht="15" customHeight="1" outlineLevel="1" collapsed="1" x14ac:dyDescent="0.3">
      <c r="A194" s="25"/>
      <c r="B194" s="14" t="str">
        <f>CONCATENATE("     ","Inventory Adjustment                              ")</f>
        <v xml:space="preserve">     Inventory Adjustment                              </v>
      </c>
      <c r="C194" s="14"/>
      <c r="D194" s="2">
        <f>SUM(OSRRefD22_13x_0)</f>
        <v>5690</v>
      </c>
      <c r="E194" s="2"/>
      <c r="F194" s="6">
        <f t="shared" si="36"/>
        <v>5.9893785476607527E-3</v>
      </c>
      <c r="G194" s="2"/>
      <c r="H194" s="2">
        <f>SUM(OSRRefH22_13x_0)</f>
        <v>3350</v>
      </c>
      <c r="I194" s="2"/>
      <c r="J194" s="6">
        <f t="shared" si="37"/>
        <v>8.6168087651310541E-3</v>
      </c>
      <c r="K194" s="2"/>
      <c r="L194" s="2">
        <f t="shared" si="38"/>
        <v>2340</v>
      </c>
      <c r="M194" s="2"/>
      <c r="N194" s="6">
        <f t="shared" si="39"/>
        <v>0.69850746268656716</v>
      </c>
      <c r="O194" s="14"/>
      <c r="P194" s="2">
        <f>SUM(OSRRefP22_13x_0)</f>
        <v>52000</v>
      </c>
      <c r="Q194" s="2"/>
      <c r="R194" s="6">
        <f t="shared" si="40"/>
        <v>8.0134048606358161E-3</v>
      </c>
      <c r="S194" s="2"/>
      <c r="T194" s="2">
        <f>SUM(OSRRefT22_13x_0)</f>
        <v>31800</v>
      </c>
      <c r="U194" s="2"/>
      <c r="V194" s="6">
        <f t="shared" si="41"/>
        <v>5.6077241031624141E-3</v>
      </c>
      <c r="W194" s="2"/>
      <c r="X194" s="2">
        <f t="shared" si="42"/>
        <v>20200</v>
      </c>
      <c r="Y194" s="2"/>
      <c r="Z194" s="6">
        <f t="shared" si="43"/>
        <v>0.63522012578616349</v>
      </c>
    </row>
    <row r="195" spans="1:26" s="69" customFormat="1" ht="15" hidden="1" customHeight="1" outlineLevel="2" x14ac:dyDescent="0.3">
      <c r="A195" s="26"/>
      <c r="B195" s="12" t="str">
        <f>CONCATENATE("          ","6408"," - ","INVENTORY ADJUSTMENT")</f>
        <v xml:space="preserve">          6408 - INVENTORY ADJUSTMENT</v>
      </c>
      <c r="C195" s="12"/>
      <c r="D195" s="8">
        <v>5690</v>
      </c>
      <c r="E195" s="3"/>
      <c r="F195" s="7">
        <f t="shared" si="36"/>
        <v>5.9893785476607527E-3</v>
      </c>
      <c r="G195" s="3"/>
      <c r="H195" s="8">
        <v>3350</v>
      </c>
      <c r="I195" s="3"/>
      <c r="J195" s="7">
        <f t="shared" si="37"/>
        <v>8.6168087651310541E-3</v>
      </c>
      <c r="K195" s="3"/>
      <c r="L195" s="8">
        <f t="shared" si="38"/>
        <v>2340</v>
      </c>
      <c r="M195" s="3"/>
      <c r="N195" s="7">
        <f t="shared" si="39"/>
        <v>0.69850746268656716</v>
      </c>
      <c r="O195" s="12"/>
      <c r="P195" s="8">
        <v>52000</v>
      </c>
      <c r="Q195" s="3"/>
      <c r="R195" s="7">
        <f t="shared" si="40"/>
        <v>8.0134048606358161E-3</v>
      </c>
      <c r="S195" s="3"/>
      <c r="T195" s="8">
        <v>31800</v>
      </c>
      <c r="U195" s="3"/>
      <c r="V195" s="7">
        <f t="shared" si="41"/>
        <v>5.6077241031624141E-3</v>
      </c>
      <c r="W195" s="3"/>
      <c r="X195" s="8">
        <f t="shared" si="42"/>
        <v>20200</v>
      </c>
      <c r="Y195" s="3"/>
      <c r="Z195" s="7">
        <f t="shared" si="43"/>
        <v>0.63522012578616349</v>
      </c>
    </row>
    <row r="196" spans="1:26" s="69" customFormat="1" ht="15" hidden="1" customHeight="1" outlineLevel="2" x14ac:dyDescent="0.3">
      <c r="A196" s="26"/>
      <c r="B196" s="12" t="str">
        <f>CONCATENATE("          ","7741"," - ","INV. SHRINKAGE-LOGO GIFTS")</f>
        <v xml:space="preserve">          7741 - INV. SHRINKAGE-LOGO GIFTS</v>
      </c>
      <c r="C196" s="12"/>
      <c r="D196" s="8"/>
      <c r="E196" s="3"/>
      <c r="F196" s="7">
        <f t="shared" si="36"/>
        <v>0</v>
      </c>
      <c r="G196" s="3"/>
      <c r="H196" s="8"/>
      <c r="I196" s="3"/>
      <c r="J196" s="7">
        <f t="shared" si="37"/>
        <v>0</v>
      </c>
      <c r="K196" s="3"/>
      <c r="L196" s="8">
        <f t="shared" si="38"/>
        <v>0</v>
      </c>
      <c r="M196" s="3"/>
      <c r="N196" s="7">
        <f t="shared" si="39"/>
        <v>0</v>
      </c>
      <c r="O196" s="12"/>
      <c r="P196" s="8"/>
      <c r="Q196" s="3"/>
      <c r="R196" s="7">
        <f t="shared" si="40"/>
        <v>0</v>
      </c>
      <c r="S196" s="3"/>
      <c r="T196" s="8">
        <v>0</v>
      </c>
      <c r="U196" s="3"/>
      <c r="V196" s="7">
        <f t="shared" si="41"/>
        <v>0</v>
      </c>
      <c r="W196" s="3"/>
      <c r="X196" s="8">
        <f t="shared" si="42"/>
        <v>0</v>
      </c>
      <c r="Y196" s="3"/>
      <c r="Z196" s="7">
        <f t="shared" si="43"/>
        <v>0</v>
      </c>
    </row>
    <row r="197" spans="1:26" s="68" customFormat="1" ht="15" customHeight="1" outlineLevel="1" collapsed="1" x14ac:dyDescent="0.3">
      <c r="A197" s="25"/>
      <c r="B197" s="14" t="str">
        <f>CONCATENATE("     ","Professional Services                             ")</f>
        <v xml:space="preserve">     Professional Services                             </v>
      </c>
      <c r="C197" s="14"/>
      <c r="D197" s="2">
        <f>SUM(OSRRefD22_14x_0)</f>
        <v>390</v>
      </c>
      <c r="E197" s="2"/>
      <c r="F197" s="6">
        <f t="shared" si="36"/>
        <v>4.1051979500662453E-4</v>
      </c>
      <c r="G197" s="2"/>
      <c r="H197" s="2">
        <f>SUM(OSRRefH22_14x_0)</f>
        <v>0</v>
      </c>
      <c r="I197" s="2"/>
      <c r="J197" s="6">
        <f t="shared" si="37"/>
        <v>0</v>
      </c>
      <c r="K197" s="2"/>
      <c r="L197" s="2">
        <f t="shared" si="38"/>
        <v>390</v>
      </c>
      <c r="M197" s="2"/>
      <c r="N197" s="6">
        <f t="shared" si="39"/>
        <v>0</v>
      </c>
      <c r="O197" s="14"/>
      <c r="P197" s="2">
        <f>SUM(OSRRefP22_14x_0)</f>
        <v>8576.5300000000007</v>
      </c>
      <c r="Q197" s="2"/>
      <c r="R197" s="6">
        <f t="shared" si="40"/>
        <v>1.321677061334402E-3</v>
      </c>
      <c r="S197" s="2"/>
      <c r="T197" s="2">
        <f>SUM(OSRRefT22_14x_0)</f>
        <v>0</v>
      </c>
      <c r="U197" s="2"/>
      <c r="V197" s="6">
        <f t="shared" si="41"/>
        <v>0</v>
      </c>
      <c r="W197" s="2"/>
      <c r="X197" s="2">
        <f t="shared" si="42"/>
        <v>8576.5300000000007</v>
      </c>
      <c r="Y197" s="2"/>
      <c r="Z197" s="6">
        <f t="shared" si="43"/>
        <v>0</v>
      </c>
    </row>
    <row r="198" spans="1:26" s="69" customFormat="1" ht="15" hidden="1" customHeight="1" outlineLevel="2" x14ac:dyDescent="0.3">
      <c r="A198" s="26"/>
      <c r="B198" s="12" t="str">
        <f>CONCATENATE("          ","6336"," - ","PROFESSIONAL SERVICES")</f>
        <v xml:space="preserve">          6336 - PROFESSIONAL SERVICES</v>
      </c>
      <c r="C198" s="12"/>
      <c r="D198" s="8">
        <v>390</v>
      </c>
      <c r="E198" s="3"/>
      <c r="F198" s="7">
        <f t="shared" si="36"/>
        <v>4.1051979500662453E-4</v>
      </c>
      <c r="G198" s="3"/>
      <c r="H198" s="8"/>
      <c r="I198" s="3"/>
      <c r="J198" s="7">
        <f t="shared" si="37"/>
        <v>0</v>
      </c>
      <c r="K198" s="3"/>
      <c r="L198" s="8">
        <f t="shared" si="38"/>
        <v>390</v>
      </c>
      <c r="M198" s="3"/>
      <c r="N198" s="7">
        <f t="shared" si="39"/>
        <v>0</v>
      </c>
      <c r="O198" s="12"/>
      <c r="P198" s="8">
        <v>8576.5300000000007</v>
      </c>
      <c r="Q198" s="3"/>
      <c r="R198" s="7">
        <f t="shared" si="40"/>
        <v>1.321677061334402E-3</v>
      </c>
      <c r="S198" s="3"/>
      <c r="T198" s="8"/>
      <c r="U198" s="3"/>
      <c r="V198" s="7">
        <f t="shared" si="41"/>
        <v>0</v>
      </c>
      <c r="W198" s="3"/>
      <c r="X198" s="8">
        <f t="shared" si="42"/>
        <v>8576.5300000000007</v>
      </c>
      <c r="Y198" s="3"/>
      <c r="Z198" s="7">
        <f t="shared" si="43"/>
        <v>0</v>
      </c>
    </row>
    <row r="199" spans="1:26" s="68" customFormat="1" ht="15" customHeight="1" outlineLevel="1" collapsed="1" x14ac:dyDescent="0.3">
      <c r="A199" s="25"/>
      <c r="B199" s="14" t="str">
        <f>CONCATENATE("     ","Rent                                              ")</f>
        <v xml:space="preserve">     Rent                                              </v>
      </c>
      <c r="C199" s="14"/>
      <c r="D199" s="2">
        <f>SUM(OSRRefD22_15x_0)</f>
        <v>6100</v>
      </c>
      <c r="E199" s="2"/>
      <c r="F199" s="6">
        <f t="shared" si="36"/>
        <v>6.4209506398472047E-3</v>
      </c>
      <c r="G199" s="2"/>
      <c r="H199" s="2">
        <f>SUM(OSRRefH22_15x_0)</f>
        <v>6100</v>
      </c>
      <c r="I199" s="2"/>
      <c r="J199" s="6">
        <f t="shared" si="37"/>
        <v>1.5690308497701321E-2</v>
      </c>
      <c r="K199" s="2"/>
      <c r="L199" s="2">
        <f t="shared" si="38"/>
        <v>0</v>
      </c>
      <c r="M199" s="2"/>
      <c r="N199" s="6">
        <f t="shared" si="39"/>
        <v>0</v>
      </c>
      <c r="O199" s="14"/>
      <c r="P199" s="2">
        <f>SUM(OSRRefP22_15x_0)</f>
        <v>48800</v>
      </c>
      <c r="Q199" s="2"/>
      <c r="R199" s="6">
        <f t="shared" si="40"/>
        <v>7.5202722538274588E-3</v>
      </c>
      <c r="S199" s="2"/>
      <c r="T199" s="2">
        <f>SUM(OSRRefT22_15x_0)</f>
        <v>48800</v>
      </c>
      <c r="U199" s="2"/>
      <c r="V199" s="6">
        <f t="shared" si="41"/>
        <v>8.6055640325259693E-3</v>
      </c>
      <c r="W199" s="2"/>
      <c r="X199" s="2">
        <f t="shared" si="42"/>
        <v>0</v>
      </c>
      <c r="Y199" s="2"/>
      <c r="Z199" s="6">
        <f t="shared" si="43"/>
        <v>0</v>
      </c>
    </row>
    <row r="200" spans="1:26" s="69" customFormat="1" ht="15" hidden="1" customHeight="1" outlineLevel="2" x14ac:dyDescent="0.3">
      <c r="A200" s="26"/>
      <c r="B200" s="12" t="str">
        <f>CONCATENATE("          ","6273"," - ","RENT")</f>
        <v xml:space="preserve">          6273 - RENT</v>
      </c>
      <c r="C200" s="12"/>
      <c r="D200" s="8">
        <v>6100</v>
      </c>
      <c r="E200" s="3"/>
      <c r="F200" s="7">
        <f t="shared" si="36"/>
        <v>6.4209506398472047E-3</v>
      </c>
      <c r="G200" s="3"/>
      <c r="H200" s="8">
        <v>6100</v>
      </c>
      <c r="I200" s="3"/>
      <c r="J200" s="7">
        <f t="shared" si="37"/>
        <v>1.5690308497701321E-2</v>
      </c>
      <c r="K200" s="3"/>
      <c r="L200" s="8">
        <f t="shared" si="38"/>
        <v>0</v>
      </c>
      <c r="M200" s="3"/>
      <c r="N200" s="7">
        <f t="shared" si="39"/>
        <v>0</v>
      </c>
      <c r="O200" s="12"/>
      <c r="P200" s="8">
        <v>48800</v>
      </c>
      <c r="Q200" s="3"/>
      <c r="R200" s="7">
        <f t="shared" si="40"/>
        <v>7.5202722538274588E-3</v>
      </c>
      <c r="S200" s="3"/>
      <c r="T200" s="8">
        <v>48800</v>
      </c>
      <c r="U200" s="3"/>
      <c r="V200" s="7">
        <f t="shared" si="41"/>
        <v>8.6055640325259693E-3</v>
      </c>
      <c r="W200" s="3"/>
      <c r="X200" s="8">
        <f t="shared" si="42"/>
        <v>0</v>
      </c>
      <c r="Y200" s="3"/>
      <c r="Z200" s="7">
        <f t="shared" si="43"/>
        <v>0</v>
      </c>
    </row>
    <row r="201" spans="1:26" s="68" customFormat="1" ht="15" customHeight="1" outlineLevel="1" collapsed="1" x14ac:dyDescent="0.3">
      <c r="A201" s="25"/>
      <c r="B201" s="14" t="str">
        <f>CONCATENATE("     ","Repair and Maintenance                            ")</f>
        <v xml:space="preserve">     Repair and Maintenance                            </v>
      </c>
      <c r="C201" s="14"/>
      <c r="D201" s="2">
        <f>SUM(OSRRefD22_16x_0)</f>
        <v>6007.6299999999992</v>
      </c>
      <c r="E201" s="2"/>
      <c r="F201" s="6">
        <f t="shared" si="36"/>
        <v>6.3237206053221732E-3</v>
      </c>
      <c r="G201" s="2"/>
      <c r="H201" s="2">
        <f>SUM(OSRRefH22_16x_0)</f>
        <v>16129.08</v>
      </c>
      <c r="I201" s="2"/>
      <c r="J201" s="6">
        <f t="shared" si="37"/>
        <v>4.1486924751492529E-2</v>
      </c>
      <c r="K201" s="2"/>
      <c r="L201" s="2">
        <f t="shared" si="38"/>
        <v>-10121.450000000001</v>
      </c>
      <c r="M201" s="2"/>
      <c r="N201" s="6">
        <f t="shared" si="39"/>
        <v>-0.62752804251699423</v>
      </c>
      <c r="O201" s="14"/>
      <c r="P201" s="2">
        <f>SUM(OSRRefP22_16x_0)</f>
        <v>115438</v>
      </c>
      <c r="Q201" s="2"/>
      <c r="R201" s="6">
        <f t="shared" si="40"/>
        <v>1.7789450582732257E-2</v>
      </c>
      <c r="S201" s="2"/>
      <c r="T201" s="2">
        <f>SUM(OSRRefT22_16x_0)</f>
        <v>128956.4</v>
      </c>
      <c r="U201" s="2"/>
      <c r="V201" s="6">
        <f t="shared" si="41"/>
        <v>2.2740626180410489E-2</v>
      </c>
      <c r="W201" s="2"/>
      <c r="X201" s="2">
        <f t="shared" si="42"/>
        <v>-13518.399999999994</v>
      </c>
      <c r="Y201" s="2"/>
      <c r="Z201" s="6">
        <f t="shared" si="43"/>
        <v>-0.10482922910379008</v>
      </c>
    </row>
    <row r="202" spans="1:26" s="69" customFormat="1" ht="15" hidden="1" customHeight="1" outlineLevel="2" x14ac:dyDescent="0.3">
      <c r="A202" s="26"/>
      <c r="B202" s="12" t="str">
        <f>CONCATENATE("          ","6371"," - ","COMPUTER SOFTWARE MAINTENANCE")</f>
        <v xml:space="preserve">          6371 - COMPUTER SOFTWARE MAINTENANCE</v>
      </c>
      <c r="C202" s="12"/>
      <c r="D202" s="8"/>
      <c r="E202" s="3"/>
      <c r="F202" s="7">
        <f t="shared" si="36"/>
        <v>0</v>
      </c>
      <c r="G202" s="3"/>
      <c r="H202" s="8">
        <v>1331.25</v>
      </c>
      <c r="I202" s="3"/>
      <c r="J202" s="7">
        <f t="shared" si="37"/>
        <v>3.4242169159942435E-3</v>
      </c>
      <c r="K202" s="3"/>
      <c r="L202" s="8">
        <f t="shared" si="38"/>
        <v>-1331.25</v>
      </c>
      <c r="M202" s="3"/>
      <c r="N202" s="7">
        <f t="shared" si="39"/>
        <v>-1</v>
      </c>
      <c r="O202" s="12"/>
      <c r="P202" s="8">
        <v>62511</v>
      </c>
      <c r="Q202" s="3"/>
      <c r="R202" s="7">
        <f t="shared" si="40"/>
        <v>9.6331913700616455E-3</v>
      </c>
      <c r="S202" s="3"/>
      <c r="T202" s="8">
        <v>59767.72</v>
      </c>
      <c r="U202" s="3"/>
      <c r="V202" s="7">
        <f t="shared" si="41"/>
        <v>1.0539650441354161E-2</v>
      </c>
      <c r="W202" s="3"/>
      <c r="X202" s="8">
        <f t="shared" si="42"/>
        <v>2743.2799999999988</v>
      </c>
      <c r="Y202" s="3"/>
      <c r="Z202" s="7">
        <f t="shared" si="43"/>
        <v>4.5899023753959475E-2</v>
      </c>
    </row>
    <row r="203" spans="1:26" s="69" customFormat="1" ht="15" hidden="1" customHeight="1" outlineLevel="2" x14ac:dyDescent="0.3">
      <c r="A203" s="26"/>
      <c r="B203" s="12" t="str">
        <f>CONCATENATE("          ","6372"," - ","COMPUTER HARDWARE MAINTENANCE")</f>
        <v xml:space="preserve">          6372 - COMPUTER HARDWARE MAINTENANCE</v>
      </c>
      <c r="C203" s="12"/>
      <c r="D203" s="8"/>
      <c r="E203" s="3"/>
      <c r="F203" s="7">
        <f t="shared" si="36"/>
        <v>0</v>
      </c>
      <c r="G203" s="3"/>
      <c r="H203" s="8">
        <v>-1.1499999999999999</v>
      </c>
      <c r="I203" s="3"/>
      <c r="J203" s="7">
        <f t="shared" si="37"/>
        <v>-2.9580089790748391E-6</v>
      </c>
      <c r="K203" s="3"/>
      <c r="L203" s="8">
        <f t="shared" si="38"/>
        <v>1.1499999999999999</v>
      </c>
      <c r="M203" s="3"/>
      <c r="N203" s="7">
        <f t="shared" si="39"/>
        <v>-1</v>
      </c>
      <c r="O203" s="12"/>
      <c r="P203" s="8"/>
      <c r="Q203" s="3"/>
      <c r="R203" s="7">
        <f t="shared" si="40"/>
        <v>0</v>
      </c>
      <c r="S203" s="3"/>
      <c r="T203" s="8">
        <v>-1.1499999999999999</v>
      </c>
      <c r="U203" s="3"/>
      <c r="V203" s="7">
        <f t="shared" si="41"/>
        <v>-2.0279505404518163E-7</v>
      </c>
      <c r="W203" s="3"/>
      <c r="X203" s="8">
        <f t="shared" si="42"/>
        <v>1.1499999999999999</v>
      </c>
      <c r="Y203" s="3"/>
      <c r="Z203" s="7">
        <f t="shared" si="43"/>
        <v>-1</v>
      </c>
    </row>
    <row r="204" spans="1:26" s="69" customFormat="1" ht="15" hidden="1" customHeight="1" outlineLevel="2" x14ac:dyDescent="0.3">
      <c r="A204" s="26"/>
      <c r="B204" s="12" t="str">
        <f>CONCATENATE("          ","6373"," - ","MAINTENANCE CONTRACTS")</f>
        <v xml:space="preserve">          6373 - MAINTENANCE CONTRACTS</v>
      </c>
      <c r="C204" s="12"/>
      <c r="D204" s="8">
        <v>1904.31</v>
      </c>
      <c r="E204" s="3"/>
      <c r="F204" s="7">
        <f t="shared" si="36"/>
        <v>2.004505002125808E-3</v>
      </c>
      <c r="G204" s="3"/>
      <c r="H204" s="8">
        <v>3372.5</v>
      </c>
      <c r="I204" s="3"/>
      <c r="J204" s="7">
        <f t="shared" si="37"/>
        <v>8.6746828538520841E-3</v>
      </c>
      <c r="K204" s="3"/>
      <c r="L204" s="8">
        <f t="shared" si="38"/>
        <v>-1468.19</v>
      </c>
      <c r="M204" s="3"/>
      <c r="N204" s="7">
        <f t="shared" si="39"/>
        <v>-0.43534173461823572</v>
      </c>
      <c r="O204" s="12"/>
      <c r="P204" s="8">
        <v>17899.5</v>
      </c>
      <c r="Q204" s="3"/>
      <c r="R204" s="7">
        <f t="shared" si="40"/>
        <v>2.7583834673644385E-3</v>
      </c>
      <c r="S204" s="3"/>
      <c r="T204" s="8">
        <v>43426.68</v>
      </c>
      <c r="U204" s="3"/>
      <c r="V204" s="7">
        <f t="shared" si="41"/>
        <v>7.6580138413937472E-3</v>
      </c>
      <c r="W204" s="3"/>
      <c r="X204" s="8">
        <f t="shared" si="42"/>
        <v>-25527.18</v>
      </c>
      <c r="Y204" s="3"/>
      <c r="Z204" s="7">
        <f t="shared" si="43"/>
        <v>-0.58782250911191003</v>
      </c>
    </row>
    <row r="205" spans="1:26" s="69" customFormat="1" ht="15" hidden="1" customHeight="1" outlineLevel="2" x14ac:dyDescent="0.3">
      <c r="A205" s="26"/>
      <c r="B205" s="12" t="str">
        <f>CONCATENATE("          ","6375"," - ","OUTSIDE REPAIRS &amp; MAINTENANCE")</f>
        <v xml:space="preserve">          6375 - OUTSIDE REPAIRS &amp; MAINTENANCE</v>
      </c>
      <c r="C205" s="12"/>
      <c r="D205" s="8">
        <v>4103.32</v>
      </c>
      <c r="E205" s="3"/>
      <c r="F205" s="7">
        <f t="shared" si="36"/>
        <v>4.3192156031963656E-3</v>
      </c>
      <c r="G205" s="3"/>
      <c r="H205" s="8">
        <v>11426.48</v>
      </c>
      <c r="I205" s="3"/>
      <c r="J205" s="7">
        <f t="shared" si="37"/>
        <v>2.9390982990625279E-2</v>
      </c>
      <c r="K205" s="3"/>
      <c r="L205" s="8">
        <f t="shared" si="38"/>
        <v>-7323.16</v>
      </c>
      <c r="M205" s="3"/>
      <c r="N205" s="7">
        <f t="shared" si="39"/>
        <v>-0.64089378356239191</v>
      </c>
      <c r="O205" s="12"/>
      <c r="P205" s="8">
        <v>35027.5</v>
      </c>
      <c r="Q205" s="3"/>
      <c r="R205" s="7">
        <f t="shared" si="40"/>
        <v>5.3978757453061743E-3</v>
      </c>
      <c r="S205" s="3"/>
      <c r="T205" s="8">
        <v>25763.15</v>
      </c>
      <c r="U205" s="3"/>
      <c r="V205" s="7">
        <f t="shared" si="41"/>
        <v>4.5431646927166277E-3</v>
      </c>
      <c r="W205" s="3"/>
      <c r="X205" s="8">
        <f t="shared" si="42"/>
        <v>9264.3499999999985</v>
      </c>
      <c r="Y205" s="3"/>
      <c r="Z205" s="7">
        <f t="shared" si="43"/>
        <v>0.35959694369671402</v>
      </c>
    </row>
    <row r="206" spans="1:26" s="68" customFormat="1" ht="15" customHeight="1" outlineLevel="1" collapsed="1" x14ac:dyDescent="0.3">
      <c r="A206" s="25"/>
      <c r="B206" s="14" t="str">
        <f>CONCATENATE("     ","Royalty &amp; Commissions                             ")</f>
        <v xml:space="preserve">     Royalty &amp; Commissions                             </v>
      </c>
      <c r="C206" s="14"/>
      <c r="D206" s="2">
        <f>SUM(OSRRefD22_17x_0)</f>
        <v>4782.3600000000006</v>
      </c>
      <c r="E206" s="2"/>
      <c r="F206" s="6">
        <f t="shared" si="36"/>
        <v>5.0339831970458489E-3</v>
      </c>
      <c r="G206" s="2"/>
      <c r="H206" s="2">
        <f>SUM(OSRRefH22_17x_0)</f>
        <v>468.34</v>
      </c>
      <c r="I206" s="2"/>
      <c r="J206" s="6">
        <f t="shared" si="37"/>
        <v>1.2046555871825307E-3</v>
      </c>
      <c r="K206" s="2"/>
      <c r="L206" s="2">
        <f t="shared" si="38"/>
        <v>4314.0200000000004</v>
      </c>
      <c r="M206" s="2"/>
      <c r="N206" s="6">
        <f t="shared" si="39"/>
        <v>9.2112994832813779</v>
      </c>
      <c r="O206" s="14"/>
      <c r="P206" s="2">
        <f>SUM(OSRRefP22_17x_0)</f>
        <v>50233.790000000008</v>
      </c>
      <c r="Q206" s="2"/>
      <c r="R206" s="6">
        <f t="shared" si="40"/>
        <v>7.7412249414261338E-3</v>
      </c>
      <c r="S206" s="2"/>
      <c r="T206" s="2">
        <f>SUM(OSRRefT22_17x_0)</f>
        <v>36833.990000000005</v>
      </c>
      <c r="U206" s="2"/>
      <c r="V206" s="6">
        <f t="shared" si="41"/>
        <v>6.4954356458692885E-3</v>
      </c>
      <c r="W206" s="2"/>
      <c r="X206" s="2">
        <f t="shared" si="42"/>
        <v>13399.800000000003</v>
      </c>
      <c r="Y206" s="2"/>
      <c r="Z206" s="6">
        <f t="shared" si="43"/>
        <v>0.36378898946326482</v>
      </c>
    </row>
    <row r="207" spans="1:26" s="69" customFormat="1" ht="15" hidden="1" customHeight="1" outlineLevel="2" x14ac:dyDescent="0.3">
      <c r="A207" s="26"/>
      <c r="B207" s="12" t="str">
        <f>CONCATENATE("          ","6253"," - ","ROYALTY DUE ATHLETICS-LRG")</f>
        <v xml:space="preserve">          6253 - ROYALTY DUE ATHLETICS-LRG</v>
      </c>
      <c r="C207" s="12"/>
      <c r="D207" s="8"/>
      <c r="E207" s="3"/>
      <c r="F207" s="7">
        <f t="shared" si="36"/>
        <v>0</v>
      </c>
      <c r="G207" s="3"/>
      <c r="H207" s="8"/>
      <c r="I207" s="3"/>
      <c r="J207" s="7">
        <f t="shared" si="37"/>
        <v>0</v>
      </c>
      <c r="K207" s="3"/>
      <c r="L207" s="8">
        <f t="shared" si="38"/>
        <v>0</v>
      </c>
      <c r="M207" s="3"/>
      <c r="N207" s="7">
        <f t="shared" si="39"/>
        <v>0</v>
      </c>
      <c r="O207" s="12"/>
      <c r="P207" s="8">
        <v>39221.160000000003</v>
      </c>
      <c r="Q207" s="3"/>
      <c r="R207" s="7">
        <f t="shared" si="40"/>
        <v>6.0441352727649052E-3</v>
      </c>
      <c r="S207" s="3"/>
      <c r="T207" s="8">
        <v>26197.58</v>
      </c>
      <c r="U207" s="3"/>
      <c r="V207" s="7">
        <f t="shared" si="41"/>
        <v>4.6197736103938871E-3</v>
      </c>
      <c r="W207" s="3"/>
      <c r="X207" s="8">
        <f t="shared" si="42"/>
        <v>13023.580000000002</v>
      </c>
      <c r="Y207" s="3"/>
      <c r="Z207" s="7">
        <f t="shared" si="43"/>
        <v>0.49712912414047405</v>
      </c>
    </row>
    <row r="208" spans="1:26" s="69" customFormat="1" ht="15" hidden="1" customHeight="1" outlineLevel="2" x14ac:dyDescent="0.3">
      <c r="A208" s="26"/>
      <c r="B208" s="12" t="str">
        <f>CONCATENATE("          ","6254"," - ","ROYALTY &amp; COMMISSIONS")</f>
        <v xml:space="preserve">          6254 - ROYALTY &amp; COMMISSIONS</v>
      </c>
      <c r="C208" s="12"/>
      <c r="D208" s="8">
        <v>3147.46</v>
      </c>
      <c r="E208" s="3"/>
      <c r="F208" s="7">
        <f t="shared" si="36"/>
        <v>3.3130631640808988E-3</v>
      </c>
      <c r="G208" s="3"/>
      <c r="H208" s="8"/>
      <c r="I208" s="3"/>
      <c r="J208" s="7">
        <f t="shared" si="37"/>
        <v>0</v>
      </c>
      <c r="K208" s="3"/>
      <c r="L208" s="8">
        <f t="shared" si="38"/>
        <v>3147.46</v>
      </c>
      <c r="M208" s="3"/>
      <c r="N208" s="7">
        <f t="shared" si="39"/>
        <v>0</v>
      </c>
      <c r="O208" s="12"/>
      <c r="P208" s="8">
        <v>3509.15</v>
      </c>
      <c r="Q208" s="3"/>
      <c r="R208" s="7">
        <f t="shared" si="40"/>
        <v>5.4077383974423414E-4</v>
      </c>
      <c r="S208" s="3"/>
      <c r="T208" s="8"/>
      <c r="U208" s="3"/>
      <c r="V208" s="7">
        <f t="shared" si="41"/>
        <v>0</v>
      </c>
      <c r="W208" s="3"/>
      <c r="X208" s="8">
        <f t="shared" si="42"/>
        <v>3509.15</v>
      </c>
      <c r="Y208" s="3"/>
      <c r="Z208" s="7">
        <f t="shared" si="43"/>
        <v>0</v>
      </c>
    </row>
    <row r="209" spans="1:26" s="69" customFormat="1" ht="15" hidden="1" customHeight="1" outlineLevel="2" x14ac:dyDescent="0.3">
      <c r="A209" s="26"/>
      <c r="B209" s="12" t="str">
        <f>CONCATENATE("          ","6259"," - ","ROYALTY &amp; COMMISSIONS")</f>
        <v xml:space="preserve">          6259 - ROYALTY &amp; COMMISSIONS</v>
      </c>
      <c r="C209" s="12"/>
      <c r="D209" s="8">
        <v>1634.9</v>
      </c>
      <c r="E209" s="3"/>
      <c r="F209" s="7">
        <f t="shared" si="36"/>
        <v>1.7209200329649499E-3</v>
      </c>
      <c r="G209" s="3"/>
      <c r="H209" s="8">
        <v>468.34</v>
      </c>
      <c r="I209" s="3"/>
      <c r="J209" s="7">
        <f t="shared" si="37"/>
        <v>1.2046555871825307E-3</v>
      </c>
      <c r="K209" s="3"/>
      <c r="L209" s="8">
        <f t="shared" si="38"/>
        <v>1166.5600000000002</v>
      </c>
      <c r="M209" s="3"/>
      <c r="N209" s="7">
        <f t="shared" si="39"/>
        <v>2.4908399880428753</v>
      </c>
      <c r="O209" s="12"/>
      <c r="P209" s="8">
        <v>7503.48</v>
      </c>
      <c r="Q209" s="3"/>
      <c r="R209" s="7">
        <f t="shared" si="40"/>
        <v>1.156315828916993E-3</v>
      </c>
      <c r="S209" s="3"/>
      <c r="T209" s="8">
        <v>10636.41</v>
      </c>
      <c r="U209" s="3"/>
      <c r="V209" s="7">
        <f t="shared" si="41"/>
        <v>1.8756620354754003E-3</v>
      </c>
      <c r="W209" s="3"/>
      <c r="X209" s="8">
        <f t="shared" si="42"/>
        <v>-3132.9300000000003</v>
      </c>
      <c r="Y209" s="3"/>
      <c r="Z209" s="7">
        <f t="shared" si="43"/>
        <v>-0.29454769043314427</v>
      </c>
    </row>
    <row r="210" spans="1:26" s="68" customFormat="1" ht="15" customHeight="1" outlineLevel="1" collapsed="1" x14ac:dyDescent="0.3">
      <c r="A210" s="25"/>
      <c r="B210" s="14" t="str">
        <f>CONCATENATE("     ","Services                                          ")</f>
        <v xml:space="preserve">     Services                                          </v>
      </c>
      <c r="C210" s="14"/>
      <c r="D210" s="2">
        <f>SUM(OSRRefD22_18x_0)</f>
        <v>7009.93</v>
      </c>
      <c r="E210" s="2"/>
      <c r="F210" s="6">
        <f t="shared" si="36"/>
        <v>7.378756478489199E-3</v>
      </c>
      <c r="G210" s="2"/>
      <c r="H210" s="2">
        <f>SUM(OSRRefH22_18x_0)</f>
        <v>3932.57</v>
      </c>
      <c r="I210" s="2"/>
      <c r="J210" s="6">
        <f t="shared" si="37"/>
        <v>1.0115284670295949E-2</v>
      </c>
      <c r="K210" s="2"/>
      <c r="L210" s="2">
        <f t="shared" si="38"/>
        <v>3077.36</v>
      </c>
      <c r="M210" s="2"/>
      <c r="N210" s="6">
        <f t="shared" si="39"/>
        <v>0.78253152518581992</v>
      </c>
      <c r="O210" s="14"/>
      <c r="P210" s="2">
        <f>SUM(OSRRefP22_18x_0)</f>
        <v>47254.229999999996</v>
      </c>
      <c r="Q210" s="2"/>
      <c r="R210" s="6">
        <f t="shared" si="40"/>
        <v>7.2820630070692845E-3</v>
      </c>
      <c r="S210" s="2"/>
      <c r="T210" s="2">
        <f>SUM(OSRRefT22_18x_0)</f>
        <v>28661.89</v>
      </c>
      <c r="U210" s="2"/>
      <c r="V210" s="6">
        <f t="shared" si="41"/>
        <v>5.054338723119175E-3</v>
      </c>
      <c r="W210" s="2"/>
      <c r="X210" s="2">
        <f t="shared" si="42"/>
        <v>18592.339999999997</v>
      </c>
      <c r="Y210" s="2"/>
      <c r="Z210" s="6">
        <f t="shared" si="43"/>
        <v>0.6486780878720837</v>
      </c>
    </row>
    <row r="211" spans="1:26" s="69" customFormat="1" ht="15" hidden="1" customHeight="1" outlineLevel="2" x14ac:dyDescent="0.3">
      <c r="A211" s="26"/>
      <c r="B211" s="12" t="str">
        <f>CONCATENATE("          ","6282"," - ","JANITORIAL/EXTERMINATOR EXPENS")</f>
        <v xml:space="preserve">          6282 - JANITORIAL/EXTERMINATOR EXPENS</v>
      </c>
      <c r="C211" s="12"/>
      <c r="D211" s="8">
        <v>350.3</v>
      </c>
      <c r="E211" s="3"/>
      <c r="F211" s="7">
        <f t="shared" si="36"/>
        <v>3.6873098510466814E-4</v>
      </c>
      <c r="G211" s="3"/>
      <c r="H211" s="8"/>
      <c r="I211" s="3"/>
      <c r="J211" s="7">
        <f t="shared" si="37"/>
        <v>0</v>
      </c>
      <c r="K211" s="3"/>
      <c r="L211" s="8">
        <f t="shared" si="38"/>
        <v>350.3</v>
      </c>
      <c r="M211" s="3"/>
      <c r="N211" s="7">
        <f t="shared" si="39"/>
        <v>0</v>
      </c>
      <c r="O211" s="12"/>
      <c r="P211" s="8">
        <v>2543.98</v>
      </c>
      <c r="Q211" s="3"/>
      <c r="R211" s="7">
        <f t="shared" si="40"/>
        <v>3.92037340333852E-4</v>
      </c>
      <c r="S211" s="3"/>
      <c r="T211" s="8">
        <v>6953.12</v>
      </c>
      <c r="U211" s="3"/>
      <c r="V211" s="7">
        <f t="shared" si="41"/>
        <v>1.2261376923327248E-3</v>
      </c>
      <c r="W211" s="3"/>
      <c r="X211" s="8">
        <f t="shared" si="42"/>
        <v>-4409.1399999999994</v>
      </c>
      <c r="Y211" s="3"/>
      <c r="Z211" s="7">
        <f t="shared" si="43"/>
        <v>-0.63412396161723072</v>
      </c>
    </row>
    <row r="212" spans="1:26" s="69" customFormat="1" ht="15" hidden="1" customHeight="1" outlineLevel="2" x14ac:dyDescent="0.3">
      <c r="A212" s="26"/>
      <c r="B212" s="12" t="str">
        <f>CONCATENATE("          ","6283"," - ","PLANT SERVICE")</f>
        <v xml:space="preserve">          6283 - PLANT SERVICE</v>
      </c>
      <c r="C212" s="12"/>
      <c r="D212" s="8"/>
      <c r="E212" s="3"/>
      <c r="F212" s="7">
        <f t="shared" ref="F212:F236" si="44">IF(D$12=0,0,D212/D$12)</f>
        <v>0</v>
      </c>
      <c r="G212" s="3"/>
      <c r="H212" s="8"/>
      <c r="I212" s="3"/>
      <c r="J212" s="7">
        <f t="shared" ref="J212:J236" si="45">IF(H$12=0,0,H212/H$12)</f>
        <v>0</v>
      </c>
      <c r="K212" s="3"/>
      <c r="L212" s="8">
        <f t="shared" ref="L212:L236" si="46">+D212-H212</f>
        <v>0</v>
      </c>
      <c r="M212" s="3"/>
      <c r="N212" s="7">
        <f t="shared" ref="N212:N236" si="47">IF(H212=0,0,L212/H212)</f>
        <v>0</v>
      </c>
      <c r="O212" s="12"/>
      <c r="P212" s="8"/>
      <c r="Q212" s="3"/>
      <c r="R212" s="7">
        <f t="shared" ref="R212:R236" si="48">IF(P$12=0,0,P212/P$12)</f>
        <v>0</v>
      </c>
      <c r="S212" s="3"/>
      <c r="T212" s="8">
        <v>171.31</v>
      </c>
      <c r="U212" s="3"/>
      <c r="V212" s="7">
        <f t="shared" ref="V212:V236" si="49">IF(T$12=0,0,T212/T$12)</f>
        <v>3.02094093117218E-5</v>
      </c>
      <c r="W212" s="3"/>
      <c r="X212" s="8">
        <f t="shared" ref="X212:X236" si="50">+P212-T212</f>
        <v>-171.31</v>
      </c>
      <c r="Y212" s="3"/>
      <c r="Z212" s="7">
        <f t="shared" ref="Z212:Z236" si="51">IF(T212=0,0,X212/T212)</f>
        <v>-1</v>
      </c>
    </row>
    <row r="213" spans="1:26" s="69" customFormat="1" ht="15" hidden="1" customHeight="1" outlineLevel="2" x14ac:dyDescent="0.3">
      <c r="A213" s="26"/>
      <c r="B213" s="12" t="str">
        <f>CONCATENATE("          ","6284"," - ","TRASH REMOVAL EXPENSE")</f>
        <v xml:space="preserve">          6284 - TRASH REMOVAL EXPENSE</v>
      </c>
      <c r="C213" s="12"/>
      <c r="D213" s="8">
        <v>149.69999999999999</v>
      </c>
      <c r="E213" s="3"/>
      <c r="F213" s="7">
        <f t="shared" si="44"/>
        <v>1.5757644439100434E-4</v>
      </c>
      <c r="G213" s="3"/>
      <c r="H213" s="8">
        <v>142.57</v>
      </c>
      <c r="I213" s="3"/>
      <c r="J213" s="7">
        <f t="shared" si="45"/>
        <v>3.6671594795365203E-4</v>
      </c>
      <c r="K213" s="3"/>
      <c r="L213" s="8">
        <f t="shared" si="46"/>
        <v>7.1299999999999955</v>
      </c>
      <c r="M213" s="3"/>
      <c r="N213" s="7">
        <f t="shared" si="47"/>
        <v>5.0010521147506461E-2</v>
      </c>
      <c r="O213" s="12"/>
      <c r="P213" s="8">
        <v>1190.47</v>
      </c>
      <c r="Q213" s="3"/>
      <c r="R213" s="7">
        <f t="shared" si="48"/>
        <v>1.8345611700848309E-4</v>
      </c>
      <c r="S213" s="3"/>
      <c r="T213" s="8">
        <v>1155.58</v>
      </c>
      <c r="U213" s="3"/>
      <c r="V213" s="7">
        <f t="shared" si="49"/>
        <v>2.037790509161139E-4</v>
      </c>
      <c r="W213" s="3"/>
      <c r="X213" s="8">
        <f t="shared" si="50"/>
        <v>34.8900000000001</v>
      </c>
      <c r="Y213" s="3"/>
      <c r="Z213" s="7">
        <f t="shared" si="51"/>
        <v>3.0192630540507887E-2</v>
      </c>
    </row>
    <row r="214" spans="1:26" s="69" customFormat="1" ht="15" hidden="1" customHeight="1" outlineLevel="2" x14ac:dyDescent="0.3">
      <c r="A214" s="26"/>
      <c r="B214" s="12" t="str">
        <f>CONCATENATE("          ","6285"," - ","JANITORIAL SERVICES")</f>
        <v xml:space="preserve">          6285 - JANITORIAL SERVICES</v>
      </c>
      <c r="C214" s="12"/>
      <c r="D214" s="8">
        <v>6509.93</v>
      </c>
      <c r="E214" s="3"/>
      <c r="F214" s="7">
        <f t="shared" si="44"/>
        <v>6.8524490489935272E-3</v>
      </c>
      <c r="G214" s="3"/>
      <c r="H214" s="8">
        <v>3790</v>
      </c>
      <c r="I214" s="3"/>
      <c r="J214" s="7">
        <f t="shared" si="45"/>
        <v>9.7485687223422962E-3</v>
      </c>
      <c r="K214" s="3"/>
      <c r="L214" s="8">
        <f t="shared" si="46"/>
        <v>2719.9300000000003</v>
      </c>
      <c r="M214" s="3"/>
      <c r="N214" s="7">
        <f t="shared" si="47"/>
        <v>0.71765963060686022</v>
      </c>
      <c r="O214" s="12"/>
      <c r="P214" s="8">
        <v>43519.78</v>
      </c>
      <c r="Q214" s="3"/>
      <c r="R214" s="7">
        <f t="shared" si="48"/>
        <v>6.7065695497269496E-3</v>
      </c>
      <c r="S214" s="3"/>
      <c r="T214" s="8">
        <v>20381.88</v>
      </c>
      <c r="U214" s="3"/>
      <c r="V214" s="7">
        <f t="shared" si="49"/>
        <v>3.594212570558615E-3</v>
      </c>
      <c r="W214" s="3"/>
      <c r="X214" s="8">
        <f t="shared" si="50"/>
        <v>23137.899999999998</v>
      </c>
      <c r="Y214" s="3"/>
      <c r="Z214" s="7">
        <f t="shared" si="51"/>
        <v>1.1352191260080031</v>
      </c>
    </row>
    <row r="215" spans="1:26" s="68" customFormat="1" ht="15" customHeight="1" outlineLevel="1" collapsed="1" x14ac:dyDescent="0.3">
      <c r="A215" s="25"/>
      <c r="B215" s="14" t="str">
        <f>CONCATENATE("     ","Subscriptions &amp; Dues                              ")</f>
        <v xml:space="preserve">     Subscriptions &amp; Dues                              </v>
      </c>
      <c r="C215" s="14"/>
      <c r="D215" s="2">
        <f>SUM(OSRRefD22_19x_0)</f>
        <v>176.99</v>
      </c>
      <c r="E215" s="2"/>
      <c r="F215" s="6">
        <f t="shared" si="44"/>
        <v>1.8630230389287815E-4</v>
      </c>
      <c r="G215" s="2"/>
      <c r="H215" s="2">
        <f>SUM(OSRRefH22_19x_0)</f>
        <v>181.41</v>
      </c>
      <c r="I215" s="2"/>
      <c r="J215" s="6">
        <f t="shared" si="45"/>
        <v>4.666194859947536E-4</v>
      </c>
      <c r="K215" s="2"/>
      <c r="L215" s="2">
        <f t="shared" si="46"/>
        <v>-4.4199999999999875</v>
      </c>
      <c r="M215" s="2"/>
      <c r="N215" s="6">
        <f t="shared" si="47"/>
        <v>-2.4364698748690742E-2</v>
      </c>
      <c r="O215" s="14"/>
      <c r="P215" s="2">
        <f>SUM(OSRRefP22_19x_0)</f>
        <v>1870.72</v>
      </c>
      <c r="Q215" s="2"/>
      <c r="R215" s="6">
        <f t="shared" si="48"/>
        <v>2.8828532194016604E-4</v>
      </c>
      <c r="S215" s="2"/>
      <c r="T215" s="2">
        <f>SUM(OSRRefT22_19x_0)</f>
        <v>4026.54</v>
      </c>
      <c r="U215" s="2"/>
      <c r="V215" s="6">
        <f t="shared" si="49"/>
        <v>7.10054258187031E-4</v>
      </c>
      <c r="W215" s="2"/>
      <c r="X215" s="2">
        <f t="shared" si="50"/>
        <v>-2155.8199999999997</v>
      </c>
      <c r="Y215" s="2"/>
      <c r="Z215" s="6">
        <f t="shared" si="51"/>
        <v>-0.53540260372428927</v>
      </c>
    </row>
    <row r="216" spans="1:26" s="69" customFormat="1" ht="15" hidden="1" customHeight="1" outlineLevel="2" x14ac:dyDescent="0.3">
      <c r="A216" s="26"/>
      <c r="B216" s="12" t="str">
        <f>CONCATENATE("          ","6258"," - ","MEMBERSHIP DUES")</f>
        <v xml:space="preserve">          6258 - MEMBERSHIP DUES</v>
      </c>
      <c r="C216" s="12"/>
      <c r="D216" s="8">
        <v>176.99</v>
      </c>
      <c r="E216" s="3"/>
      <c r="F216" s="7">
        <f t="shared" si="44"/>
        <v>1.8630230389287815E-4</v>
      </c>
      <c r="G216" s="3"/>
      <c r="H216" s="8">
        <v>181.41</v>
      </c>
      <c r="I216" s="3"/>
      <c r="J216" s="7">
        <f t="shared" si="45"/>
        <v>4.666194859947536E-4</v>
      </c>
      <c r="K216" s="3"/>
      <c r="L216" s="8">
        <f t="shared" si="46"/>
        <v>-4.4199999999999875</v>
      </c>
      <c r="M216" s="3"/>
      <c r="N216" s="7">
        <f t="shared" si="47"/>
        <v>-2.4364698748690742E-2</v>
      </c>
      <c r="O216" s="12"/>
      <c r="P216" s="8">
        <v>1870.72</v>
      </c>
      <c r="Q216" s="3"/>
      <c r="R216" s="7">
        <f t="shared" si="48"/>
        <v>2.8828532194016604E-4</v>
      </c>
      <c r="S216" s="3"/>
      <c r="T216" s="8">
        <v>1873.73</v>
      </c>
      <c r="U216" s="3"/>
      <c r="V216" s="7">
        <f t="shared" si="49"/>
        <v>3.3042015357919846E-4</v>
      </c>
      <c r="W216" s="3"/>
      <c r="X216" s="8">
        <f t="shared" si="50"/>
        <v>-3.0099999999999909</v>
      </c>
      <c r="Y216" s="3"/>
      <c r="Z216" s="7">
        <f t="shared" si="51"/>
        <v>-1.6064214161058375E-3</v>
      </c>
    </row>
    <row r="217" spans="1:26" s="69" customFormat="1" ht="15" hidden="1" customHeight="1" outlineLevel="2" x14ac:dyDescent="0.3">
      <c r="A217" s="26"/>
      <c r="B217" s="12" t="str">
        <f>CONCATENATE("          ","6275"," - ","SUBSCRIPTIONS")</f>
        <v xml:space="preserve">          6275 - SUBSCRIPTIONS</v>
      </c>
      <c r="C217" s="12"/>
      <c r="D217" s="8"/>
      <c r="E217" s="3"/>
      <c r="F217" s="7">
        <f t="shared" si="44"/>
        <v>0</v>
      </c>
      <c r="G217" s="3"/>
      <c r="H217" s="8"/>
      <c r="I217" s="3"/>
      <c r="J217" s="7">
        <f t="shared" si="45"/>
        <v>0</v>
      </c>
      <c r="K217" s="3"/>
      <c r="L217" s="8">
        <f t="shared" si="46"/>
        <v>0</v>
      </c>
      <c r="M217" s="3"/>
      <c r="N217" s="7">
        <f t="shared" si="47"/>
        <v>0</v>
      </c>
      <c r="O217" s="12"/>
      <c r="P217" s="8"/>
      <c r="Q217" s="3"/>
      <c r="R217" s="7">
        <f t="shared" si="48"/>
        <v>0</v>
      </c>
      <c r="S217" s="3"/>
      <c r="T217" s="8">
        <v>2152.81</v>
      </c>
      <c r="U217" s="3"/>
      <c r="V217" s="7">
        <f t="shared" si="49"/>
        <v>3.796341046078326E-4</v>
      </c>
      <c r="W217" s="3"/>
      <c r="X217" s="8">
        <f t="shared" si="50"/>
        <v>-2152.81</v>
      </c>
      <c r="Y217" s="3"/>
      <c r="Z217" s="7">
        <f t="shared" si="51"/>
        <v>-1</v>
      </c>
    </row>
    <row r="218" spans="1:26" s="68" customFormat="1" ht="15" customHeight="1" outlineLevel="1" collapsed="1" x14ac:dyDescent="0.3">
      <c r="A218" s="25"/>
      <c r="B218" s="14" t="str">
        <f>CONCATENATE("     ","Supplies                                          ")</f>
        <v xml:space="preserve">     Supplies                                          </v>
      </c>
      <c r="C218" s="14"/>
      <c r="D218" s="2">
        <f>SUM(OSRRefD22_20x_0)</f>
        <v>20061.739999999998</v>
      </c>
      <c r="E218" s="2"/>
      <c r="F218" s="6">
        <f t="shared" si="44"/>
        <v>2.1117285621221022E-2</v>
      </c>
      <c r="G218" s="2"/>
      <c r="H218" s="2">
        <f>SUM(OSRRefH22_20x_0)</f>
        <v>7912.75</v>
      </c>
      <c r="I218" s="2"/>
      <c r="J218" s="6">
        <f t="shared" si="45"/>
        <v>2.0353030912325598E-2</v>
      </c>
      <c r="K218" s="2"/>
      <c r="L218" s="2">
        <f t="shared" si="46"/>
        <v>12148.989999999998</v>
      </c>
      <c r="M218" s="2"/>
      <c r="N218" s="6">
        <f t="shared" si="47"/>
        <v>1.5353688667024736</v>
      </c>
      <c r="O218" s="14"/>
      <c r="P218" s="2">
        <f>SUM(OSRRefP22_20x_0)</f>
        <v>80033.59</v>
      </c>
      <c r="Q218" s="2"/>
      <c r="R218" s="6">
        <f t="shared" si="48"/>
        <v>1.233349152154104E-2</v>
      </c>
      <c r="S218" s="2"/>
      <c r="T218" s="2">
        <f>SUM(OSRRefT22_20x_0)</f>
        <v>100985.21</v>
      </c>
      <c r="U218" s="2"/>
      <c r="V218" s="6">
        <f t="shared" si="49"/>
        <v>1.7808087930186105E-2</v>
      </c>
      <c r="W218" s="2"/>
      <c r="X218" s="2">
        <f t="shared" si="50"/>
        <v>-20951.62000000001</v>
      </c>
      <c r="Y218" s="2"/>
      <c r="Z218" s="6">
        <f t="shared" si="51"/>
        <v>-0.20747216349800143</v>
      </c>
    </row>
    <row r="219" spans="1:26" s="69" customFormat="1" ht="15" hidden="1" customHeight="1" outlineLevel="2" x14ac:dyDescent="0.3">
      <c r="A219" s="26"/>
      <c r="B219" s="12" t="str">
        <f>CONCATENATE("          ","6234"," - ","EXPENDABLE SUPPLIES &amp; EQUIPMEN")</f>
        <v xml:space="preserve">          6234 - EXPENDABLE SUPPLIES &amp; EQUIPMEN</v>
      </c>
      <c r="C219" s="12"/>
      <c r="D219" s="8"/>
      <c r="E219" s="3"/>
      <c r="F219" s="7">
        <f t="shared" si="44"/>
        <v>0</v>
      </c>
      <c r="G219" s="3"/>
      <c r="H219" s="8"/>
      <c r="I219" s="3"/>
      <c r="J219" s="7">
        <f t="shared" si="45"/>
        <v>0</v>
      </c>
      <c r="K219" s="3"/>
      <c r="L219" s="8">
        <f t="shared" si="46"/>
        <v>0</v>
      </c>
      <c r="M219" s="3"/>
      <c r="N219" s="7">
        <f t="shared" si="47"/>
        <v>0</v>
      </c>
      <c r="O219" s="12"/>
      <c r="P219" s="8">
        <v>5289.57</v>
      </c>
      <c r="Q219" s="3"/>
      <c r="R219" s="7">
        <f t="shared" si="48"/>
        <v>8.1514357593602679E-4</v>
      </c>
      <c r="S219" s="3"/>
      <c r="T219" s="8">
        <v>-52.84</v>
      </c>
      <c r="U219" s="3"/>
      <c r="V219" s="7">
        <f t="shared" si="49"/>
        <v>-9.3179918745629562E-6</v>
      </c>
      <c r="W219" s="3"/>
      <c r="X219" s="8">
        <f t="shared" si="50"/>
        <v>5342.41</v>
      </c>
      <c r="Y219" s="3"/>
      <c r="Z219" s="7">
        <f t="shared" si="51"/>
        <v>-101.10541256623769</v>
      </c>
    </row>
    <row r="220" spans="1:26" s="69" customFormat="1" ht="15" hidden="1" customHeight="1" outlineLevel="2" x14ac:dyDescent="0.3">
      <c r="A220" s="26"/>
      <c r="B220" s="12" t="str">
        <f>CONCATENATE("          ","6235"," - ","COVID-19 EXPENSES")</f>
        <v xml:space="preserve">          6235 - COVID-19 EXPENSES</v>
      </c>
      <c r="C220" s="12"/>
      <c r="D220" s="8"/>
      <c r="E220" s="3"/>
      <c r="F220" s="7">
        <f t="shared" si="44"/>
        <v>0</v>
      </c>
      <c r="G220" s="3"/>
      <c r="H220" s="8">
        <v>2992.14</v>
      </c>
      <c r="I220" s="3"/>
      <c r="J220" s="7">
        <f t="shared" si="45"/>
        <v>7.6963278144773824E-3</v>
      </c>
      <c r="K220" s="3"/>
      <c r="L220" s="8">
        <f t="shared" si="46"/>
        <v>-2992.14</v>
      </c>
      <c r="M220" s="3"/>
      <c r="N220" s="7">
        <f t="shared" si="47"/>
        <v>-1</v>
      </c>
      <c r="O220" s="12"/>
      <c r="P220" s="8">
        <v>3430.32</v>
      </c>
      <c r="Q220" s="3"/>
      <c r="R220" s="7">
        <f t="shared" si="48"/>
        <v>5.2862582618338951E-4</v>
      </c>
      <c r="S220" s="3"/>
      <c r="T220" s="8">
        <v>37959.29</v>
      </c>
      <c r="U220" s="3"/>
      <c r="V220" s="7">
        <f t="shared" si="49"/>
        <v>6.6938750148406289E-3</v>
      </c>
      <c r="W220" s="3"/>
      <c r="X220" s="8">
        <f t="shared" si="50"/>
        <v>-34528.97</v>
      </c>
      <c r="Y220" s="3"/>
      <c r="Z220" s="7">
        <f t="shared" si="51"/>
        <v>-0.90963160796737774</v>
      </c>
    </row>
    <row r="221" spans="1:26" s="69" customFormat="1" ht="15" hidden="1" customHeight="1" outlineLevel="2" x14ac:dyDescent="0.3">
      <c r="A221" s="26"/>
      <c r="B221" s="12" t="str">
        <f>CONCATENATE("          ","6237"," - ","JANITORIAL SUPPLIES")</f>
        <v xml:space="preserve">          6237 - JANITORIAL SUPPLIES</v>
      </c>
      <c r="C221" s="12"/>
      <c r="D221" s="8"/>
      <c r="E221" s="3"/>
      <c r="F221" s="7">
        <f t="shared" si="44"/>
        <v>0</v>
      </c>
      <c r="G221" s="3"/>
      <c r="H221" s="8"/>
      <c r="I221" s="3"/>
      <c r="J221" s="7">
        <f t="shared" si="45"/>
        <v>0</v>
      </c>
      <c r="K221" s="3"/>
      <c r="L221" s="8">
        <f t="shared" si="46"/>
        <v>0</v>
      </c>
      <c r="M221" s="3"/>
      <c r="N221" s="7">
        <f t="shared" si="47"/>
        <v>0</v>
      </c>
      <c r="O221" s="12"/>
      <c r="P221" s="8">
        <v>4531.17</v>
      </c>
      <c r="Q221" s="3"/>
      <c r="R221" s="7">
        <f t="shared" si="48"/>
        <v>6.9827114812244604E-4</v>
      </c>
      <c r="S221" s="3"/>
      <c r="T221" s="8">
        <v>2263.65</v>
      </c>
      <c r="U221" s="3"/>
      <c r="V221" s="7">
        <f t="shared" si="49"/>
        <v>3.9918002094728298E-4</v>
      </c>
      <c r="W221" s="3"/>
      <c r="X221" s="8">
        <f t="shared" si="50"/>
        <v>2267.52</v>
      </c>
      <c r="Y221" s="3"/>
      <c r="Z221" s="7">
        <f t="shared" si="51"/>
        <v>1.0017096282552513</v>
      </c>
    </row>
    <row r="222" spans="1:26" s="69" customFormat="1" ht="15" hidden="1" customHeight="1" outlineLevel="2" x14ac:dyDescent="0.3">
      <c r="A222" s="26"/>
      <c r="B222" s="12" t="str">
        <f>CONCATENATE("          ","6241"," - ","OFFICE EXPENSE")</f>
        <v xml:space="preserve">          6241 - OFFICE EXPENSE</v>
      </c>
      <c r="C222" s="12"/>
      <c r="D222" s="8">
        <v>4058.37</v>
      </c>
      <c r="E222" s="3"/>
      <c r="F222" s="7">
        <f t="shared" si="44"/>
        <v>4.2719005652847048E-3</v>
      </c>
      <c r="G222" s="3"/>
      <c r="H222" s="8">
        <v>633.41999999999996</v>
      </c>
      <c r="I222" s="3"/>
      <c r="J222" s="7">
        <f t="shared" si="45"/>
        <v>1.6292713456744214E-3</v>
      </c>
      <c r="K222" s="3"/>
      <c r="L222" s="8">
        <f t="shared" si="46"/>
        <v>3424.95</v>
      </c>
      <c r="M222" s="3"/>
      <c r="N222" s="7">
        <f t="shared" si="47"/>
        <v>5.4070758738277922</v>
      </c>
      <c r="O222" s="12"/>
      <c r="P222" s="8">
        <v>13342.6</v>
      </c>
      <c r="Q222" s="3"/>
      <c r="R222" s="7">
        <f t="shared" si="48"/>
        <v>2.0561472248753739E-3</v>
      </c>
      <c r="S222" s="3"/>
      <c r="T222" s="8">
        <v>11267.03</v>
      </c>
      <c r="U222" s="3"/>
      <c r="V222" s="7">
        <f t="shared" si="49"/>
        <v>1.9868677893727679E-3</v>
      </c>
      <c r="W222" s="3"/>
      <c r="X222" s="8">
        <f t="shared" si="50"/>
        <v>2075.5699999999997</v>
      </c>
      <c r="Y222" s="3"/>
      <c r="Z222" s="7">
        <f t="shared" si="51"/>
        <v>0.18421624864760275</v>
      </c>
    </row>
    <row r="223" spans="1:26" s="69" customFormat="1" ht="15" hidden="1" customHeight="1" outlineLevel="2" x14ac:dyDescent="0.3">
      <c r="A223" s="26"/>
      <c r="B223" s="12" t="str">
        <f>CONCATENATE("          ","6243"," - ","PAPER SUPPLIES")</f>
        <v xml:space="preserve">          6243 - PAPER SUPPLIES</v>
      </c>
      <c r="C223" s="12"/>
      <c r="D223" s="8">
        <v>1072.69</v>
      </c>
      <c r="E223" s="3"/>
      <c r="F223" s="7">
        <f t="shared" si="44"/>
        <v>1.129129433091426E-3</v>
      </c>
      <c r="G223" s="3"/>
      <c r="H223" s="8"/>
      <c r="I223" s="3"/>
      <c r="J223" s="7">
        <f t="shared" si="45"/>
        <v>0</v>
      </c>
      <c r="K223" s="3"/>
      <c r="L223" s="8">
        <f t="shared" si="46"/>
        <v>1072.69</v>
      </c>
      <c r="M223" s="3"/>
      <c r="N223" s="7">
        <f t="shared" si="47"/>
        <v>0</v>
      </c>
      <c r="O223" s="12"/>
      <c r="P223" s="8">
        <v>5621.93</v>
      </c>
      <c r="Q223" s="3"/>
      <c r="R223" s="7">
        <f t="shared" si="48"/>
        <v>8.6636156131066002E-4</v>
      </c>
      <c r="S223" s="3"/>
      <c r="T223" s="8">
        <v>6173.4</v>
      </c>
      <c r="U223" s="3"/>
      <c r="V223" s="7">
        <f t="shared" si="49"/>
        <v>1.0886391188195863E-3</v>
      </c>
      <c r="W223" s="3"/>
      <c r="X223" s="8">
        <f t="shared" si="50"/>
        <v>-551.46999999999935</v>
      </c>
      <c r="Y223" s="3"/>
      <c r="Z223" s="7">
        <f t="shared" si="51"/>
        <v>-8.9330028833381828E-2</v>
      </c>
    </row>
    <row r="224" spans="1:26" s="69" customFormat="1" ht="15" hidden="1" customHeight="1" outlineLevel="2" x14ac:dyDescent="0.3">
      <c r="A224" s="26"/>
      <c r="B224" s="12" t="str">
        <f>CONCATENATE("          ","6245"," - ","PRINTING")</f>
        <v xml:space="preserve">          6245 - PRINTING</v>
      </c>
      <c r="C224" s="12"/>
      <c r="D224" s="8">
        <v>502.78</v>
      </c>
      <c r="E224" s="3"/>
      <c r="F224" s="7">
        <f t="shared" si="44"/>
        <v>5.2923369880366841E-4</v>
      </c>
      <c r="G224" s="3"/>
      <c r="H224" s="8">
        <v>398.67</v>
      </c>
      <c r="I224" s="3"/>
      <c r="J224" s="7">
        <f t="shared" si="45"/>
        <v>1.0254516866850141E-3</v>
      </c>
      <c r="K224" s="3"/>
      <c r="L224" s="8">
        <f t="shared" si="46"/>
        <v>104.10999999999996</v>
      </c>
      <c r="M224" s="3"/>
      <c r="N224" s="7">
        <f t="shared" si="47"/>
        <v>0.26114330147741227</v>
      </c>
      <c r="O224" s="12"/>
      <c r="P224" s="8">
        <v>3304.52</v>
      </c>
      <c r="Q224" s="3"/>
      <c r="R224" s="7">
        <f t="shared" si="48"/>
        <v>5.0923955057823598E-4</v>
      </c>
      <c r="S224" s="3"/>
      <c r="T224" s="8">
        <v>906.94</v>
      </c>
      <c r="U224" s="3"/>
      <c r="V224" s="7">
        <f t="shared" si="49"/>
        <v>1.599329967962931E-4</v>
      </c>
      <c r="W224" s="3"/>
      <c r="X224" s="8">
        <f t="shared" si="50"/>
        <v>2397.58</v>
      </c>
      <c r="Y224" s="3"/>
      <c r="Z224" s="7">
        <f t="shared" si="51"/>
        <v>2.6435927404238426</v>
      </c>
    </row>
    <row r="225" spans="1:26" s="69" customFormat="1" ht="15" hidden="1" customHeight="1" outlineLevel="2" x14ac:dyDescent="0.3">
      <c r="A225" s="26"/>
      <c r="B225" s="12" t="str">
        <f>CONCATENATE("          ","6247"," - ","STORE SUPPLIES")</f>
        <v xml:space="preserve">          6247 - STORE SUPPLIES</v>
      </c>
      <c r="C225" s="12"/>
      <c r="D225" s="8">
        <v>14427.9</v>
      </c>
      <c r="E225" s="3"/>
      <c r="F225" s="7">
        <f t="shared" si="44"/>
        <v>1.5187021924041226E-2</v>
      </c>
      <c r="G225" s="3"/>
      <c r="H225" s="8">
        <v>3888.52</v>
      </c>
      <c r="I225" s="3"/>
      <c r="J225" s="7">
        <f t="shared" si="45"/>
        <v>1.0001980065488778E-2</v>
      </c>
      <c r="K225" s="3"/>
      <c r="L225" s="8">
        <f t="shared" si="46"/>
        <v>10539.38</v>
      </c>
      <c r="M225" s="3"/>
      <c r="N225" s="7">
        <f t="shared" si="47"/>
        <v>2.7103833849382282</v>
      </c>
      <c r="O225" s="12"/>
      <c r="P225" s="8">
        <v>44513.48</v>
      </c>
      <c r="Q225" s="3"/>
      <c r="R225" s="7">
        <f t="shared" si="48"/>
        <v>6.8597026345349086E-3</v>
      </c>
      <c r="S225" s="3"/>
      <c r="T225" s="8">
        <v>42467.74</v>
      </c>
      <c r="U225" s="3"/>
      <c r="V225" s="7">
        <f t="shared" si="49"/>
        <v>7.4889109812841057E-3</v>
      </c>
      <c r="W225" s="3"/>
      <c r="X225" s="8">
        <f t="shared" si="50"/>
        <v>2045.7400000000052</v>
      </c>
      <c r="Y225" s="3"/>
      <c r="Z225" s="7">
        <f t="shared" si="51"/>
        <v>4.8171623919709534E-2</v>
      </c>
    </row>
    <row r="226" spans="1:26" s="68" customFormat="1" ht="15" customHeight="1" outlineLevel="1" collapsed="1" x14ac:dyDescent="0.3">
      <c r="A226" s="25"/>
      <c r="B226" s="14" t="str">
        <f>CONCATENATE("     ","Telephone/Data Lines                              ")</f>
        <v xml:space="preserve">     Telephone/Data Lines                              </v>
      </c>
      <c r="C226" s="14"/>
      <c r="D226" s="2">
        <f>SUM(OSRRefD22_21x_0)</f>
        <v>1862.87</v>
      </c>
      <c r="E226" s="2"/>
      <c r="F226" s="6">
        <f t="shared" si="44"/>
        <v>1.9608846423692068E-3</v>
      </c>
      <c r="G226" s="2"/>
      <c r="H226" s="2">
        <f>SUM(OSRRefH22_21x_0)</f>
        <v>1489.25</v>
      </c>
      <c r="I226" s="2"/>
      <c r="J226" s="6">
        <f t="shared" si="45"/>
        <v>3.8306216279019173E-3</v>
      </c>
      <c r="K226" s="2"/>
      <c r="L226" s="2">
        <f t="shared" si="46"/>
        <v>373.61999999999989</v>
      </c>
      <c r="M226" s="2"/>
      <c r="N226" s="6">
        <f t="shared" si="47"/>
        <v>0.25087795870404561</v>
      </c>
      <c r="O226" s="14"/>
      <c r="P226" s="2">
        <f>SUM(OSRRefP22_21x_0)</f>
        <v>16276.06</v>
      </c>
      <c r="Q226" s="2"/>
      <c r="R226" s="6">
        <f t="shared" si="48"/>
        <v>2.508204967615388E-3</v>
      </c>
      <c r="S226" s="2"/>
      <c r="T226" s="2">
        <f>SUM(OSRRefT22_21x_0)</f>
        <v>20760</v>
      </c>
      <c r="U226" s="2"/>
      <c r="V226" s="6">
        <f t="shared" si="49"/>
        <v>3.6608915843286704E-3</v>
      </c>
      <c r="W226" s="2"/>
      <c r="X226" s="2">
        <f t="shared" si="50"/>
        <v>-4483.9400000000005</v>
      </c>
      <c r="Y226" s="2"/>
      <c r="Z226" s="6">
        <f t="shared" si="51"/>
        <v>-0.2159894026974952</v>
      </c>
    </row>
    <row r="227" spans="1:26" s="69" customFormat="1" ht="15" hidden="1" customHeight="1" outlineLevel="2" x14ac:dyDescent="0.3">
      <c r="A227" s="26"/>
      <c r="B227" s="12" t="str">
        <f>CONCATENATE("          ","6303"," - ","DATA PHONE LINES")</f>
        <v xml:space="preserve">          6303 - DATA PHONE LINES</v>
      </c>
      <c r="C227" s="12"/>
      <c r="D227" s="8"/>
      <c r="E227" s="3"/>
      <c r="F227" s="7">
        <f t="shared" si="44"/>
        <v>0</v>
      </c>
      <c r="G227" s="3"/>
      <c r="H227" s="8">
        <v>590</v>
      </c>
      <c r="I227" s="3"/>
      <c r="J227" s="7">
        <f t="shared" si="45"/>
        <v>1.5175872153514393E-3</v>
      </c>
      <c r="K227" s="3"/>
      <c r="L227" s="8">
        <f t="shared" si="46"/>
        <v>-590</v>
      </c>
      <c r="M227" s="3"/>
      <c r="N227" s="7">
        <f t="shared" si="47"/>
        <v>-1</v>
      </c>
      <c r="O227" s="12"/>
      <c r="P227" s="8">
        <v>295</v>
      </c>
      <c r="Q227" s="3"/>
      <c r="R227" s="7">
        <f t="shared" si="48"/>
        <v>4.5460662190145499E-5</v>
      </c>
      <c r="S227" s="3"/>
      <c r="T227" s="8">
        <v>2950</v>
      </c>
      <c r="U227" s="3"/>
      <c r="V227" s="7">
        <f t="shared" si="49"/>
        <v>5.2021339950720504E-4</v>
      </c>
      <c r="W227" s="3"/>
      <c r="X227" s="8">
        <f t="shared" si="50"/>
        <v>-2655</v>
      </c>
      <c r="Y227" s="3"/>
      <c r="Z227" s="7">
        <f t="shared" si="51"/>
        <v>-0.9</v>
      </c>
    </row>
    <row r="228" spans="1:26" s="69" customFormat="1" ht="15" hidden="1" customHeight="1" outlineLevel="2" x14ac:dyDescent="0.3">
      <c r="A228" s="26"/>
      <c r="B228" s="12" t="str">
        <f>CONCATENATE("          ","6309"," - ","TELEPHONE")</f>
        <v xml:space="preserve">          6309 - TELEPHONE</v>
      </c>
      <c r="C228" s="12"/>
      <c r="D228" s="8">
        <v>1862.87</v>
      </c>
      <c r="E228" s="3"/>
      <c r="F228" s="7">
        <f t="shared" si="44"/>
        <v>1.9608846423692068E-3</v>
      </c>
      <c r="G228" s="3"/>
      <c r="H228" s="8">
        <v>899.25</v>
      </c>
      <c r="I228" s="3"/>
      <c r="J228" s="7">
        <f t="shared" si="45"/>
        <v>2.3130344125504776E-3</v>
      </c>
      <c r="K228" s="3"/>
      <c r="L228" s="8">
        <f t="shared" si="46"/>
        <v>963.61999999999989</v>
      </c>
      <c r="M228" s="3"/>
      <c r="N228" s="7">
        <f t="shared" si="47"/>
        <v>1.0715818737837086</v>
      </c>
      <c r="O228" s="12"/>
      <c r="P228" s="8">
        <v>15981.06</v>
      </c>
      <c r="Q228" s="3"/>
      <c r="R228" s="7">
        <f t="shared" si="48"/>
        <v>2.4627443054252426E-3</v>
      </c>
      <c r="S228" s="3"/>
      <c r="T228" s="8">
        <v>17810</v>
      </c>
      <c r="U228" s="3"/>
      <c r="V228" s="7">
        <f t="shared" si="49"/>
        <v>3.1406781848214655E-3</v>
      </c>
      <c r="W228" s="3"/>
      <c r="X228" s="8">
        <f t="shared" si="50"/>
        <v>-1828.9400000000005</v>
      </c>
      <c r="Y228" s="3"/>
      <c r="Z228" s="7">
        <f t="shared" si="51"/>
        <v>-0.10269174620999441</v>
      </c>
    </row>
    <row r="229" spans="1:26" s="68" customFormat="1" ht="15" customHeight="1" outlineLevel="1" collapsed="1" x14ac:dyDescent="0.3">
      <c r="A229" s="25"/>
      <c r="B229" s="14" t="str">
        <f>CONCATENATE("     ","Training                                          ")</f>
        <v xml:space="preserve">     Training                                          </v>
      </c>
      <c r="C229" s="14"/>
      <c r="D229" s="2">
        <f>SUM(OSRRefD22_22x_0)</f>
        <v>300</v>
      </c>
      <c r="E229" s="2"/>
      <c r="F229" s="6">
        <f t="shared" si="44"/>
        <v>3.1578445769740352E-4</v>
      </c>
      <c r="G229" s="2"/>
      <c r="H229" s="2">
        <f>SUM(OSRRefH22_22x_0)</f>
        <v>750</v>
      </c>
      <c r="I229" s="2"/>
      <c r="J229" s="6">
        <f t="shared" si="45"/>
        <v>1.9291362907009823E-3</v>
      </c>
      <c r="K229" s="2"/>
      <c r="L229" s="2">
        <f t="shared" si="46"/>
        <v>-450</v>
      </c>
      <c r="M229" s="2"/>
      <c r="N229" s="6">
        <f t="shared" si="47"/>
        <v>-0.6</v>
      </c>
      <c r="O229" s="14"/>
      <c r="P229" s="2">
        <f>SUM(OSRRefP22_22x_0)</f>
        <v>895</v>
      </c>
      <c r="Q229" s="2"/>
      <c r="R229" s="6">
        <f t="shared" si="48"/>
        <v>1.3792302596671261E-4</v>
      </c>
      <c r="S229" s="2"/>
      <c r="T229" s="2">
        <f>SUM(OSRRefT22_22x_0)</f>
        <v>995.63</v>
      </c>
      <c r="U229" s="2"/>
      <c r="V229" s="6">
        <f t="shared" si="49"/>
        <v>1.75572904051308E-4</v>
      </c>
      <c r="W229" s="2"/>
      <c r="X229" s="2">
        <f t="shared" si="50"/>
        <v>-100.63</v>
      </c>
      <c r="Y229" s="2"/>
      <c r="Z229" s="6">
        <f t="shared" si="51"/>
        <v>-0.10107168325582797</v>
      </c>
    </row>
    <row r="230" spans="1:26" s="69" customFormat="1" ht="15" hidden="1" customHeight="1" outlineLevel="2" x14ac:dyDescent="0.3">
      <c r="A230" s="26"/>
      <c r="B230" s="12" t="str">
        <f>CONCATENATE("          ","6376"," - ","TRAINING")</f>
        <v xml:space="preserve">          6376 - TRAINING</v>
      </c>
      <c r="C230" s="12"/>
      <c r="D230" s="8">
        <v>300</v>
      </c>
      <c r="E230" s="3"/>
      <c r="F230" s="7">
        <f t="shared" si="44"/>
        <v>3.1578445769740352E-4</v>
      </c>
      <c r="G230" s="3"/>
      <c r="H230" s="8">
        <v>750</v>
      </c>
      <c r="I230" s="3"/>
      <c r="J230" s="7">
        <f t="shared" si="45"/>
        <v>1.9291362907009823E-3</v>
      </c>
      <c r="K230" s="3"/>
      <c r="L230" s="8">
        <f t="shared" si="46"/>
        <v>-450</v>
      </c>
      <c r="M230" s="3"/>
      <c r="N230" s="7">
        <f t="shared" si="47"/>
        <v>-0.6</v>
      </c>
      <c r="O230" s="12"/>
      <c r="P230" s="8">
        <v>895</v>
      </c>
      <c r="Q230" s="3"/>
      <c r="R230" s="7">
        <f t="shared" si="48"/>
        <v>1.3792302596671261E-4</v>
      </c>
      <c r="S230" s="3"/>
      <c r="T230" s="8">
        <v>995.63</v>
      </c>
      <c r="U230" s="3"/>
      <c r="V230" s="7">
        <f t="shared" si="49"/>
        <v>1.75572904051308E-4</v>
      </c>
      <c r="W230" s="3"/>
      <c r="X230" s="8">
        <f t="shared" si="50"/>
        <v>-100.63</v>
      </c>
      <c r="Y230" s="3"/>
      <c r="Z230" s="7">
        <f t="shared" si="51"/>
        <v>-0.10107168325582797</v>
      </c>
    </row>
    <row r="231" spans="1:26" s="68" customFormat="1" ht="15" customHeight="1" outlineLevel="1" collapsed="1" x14ac:dyDescent="0.3">
      <c r="A231" s="25"/>
      <c r="B231" s="14" t="str">
        <f>CONCATENATE("     ","Travel                                            ")</f>
        <v xml:space="preserve">     Travel                                            </v>
      </c>
      <c r="C231" s="14"/>
      <c r="D231" s="2">
        <f>SUM(OSRRefD22_23x_0)</f>
        <v>206.75</v>
      </c>
      <c r="E231" s="2"/>
      <c r="F231" s="6">
        <f t="shared" si="44"/>
        <v>2.1762812209646058E-4</v>
      </c>
      <c r="G231" s="2"/>
      <c r="H231" s="2">
        <f>SUM(OSRRefH22_23x_0)</f>
        <v>0</v>
      </c>
      <c r="I231" s="2"/>
      <c r="J231" s="6">
        <f t="shared" si="45"/>
        <v>0</v>
      </c>
      <c r="K231" s="2"/>
      <c r="L231" s="2">
        <f t="shared" si="46"/>
        <v>206.75</v>
      </c>
      <c r="M231" s="2"/>
      <c r="N231" s="6">
        <f t="shared" si="47"/>
        <v>0</v>
      </c>
      <c r="O231" s="14"/>
      <c r="P231" s="2">
        <f>SUM(OSRRefP22_23x_0)</f>
        <v>1088.76</v>
      </c>
      <c r="Q231" s="2"/>
      <c r="R231" s="6">
        <f t="shared" si="48"/>
        <v>1.6778220530895869E-4</v>
      </c>
      <c r="S231" s="2"/>
      <c r="T231" s="2">
        <f>SUM(OSRRefT22_23x_0)</f>
        <v>810.31000000000006</v>
      </c>
      <c r="U231" s="2"/>
      <c r="V231" s="6">
        <f t="shared" si="49"/>
        <v>1.4289292195074013E-4</v>
      </c>
      <c r="W231" s="2"/>
      <c r="X231" s="2">
        <f t="shared" si="50"/>
        <v>278.44999999999993</v>
      </c>
      <c r="Y231" s="2"/>
      <c r="Z231" s="6">
        <f t="shared" si="51"/>
        <v>0.34363391788327913</v>
      </c>
    </row>
    <row r="232" spans="1:26" s="69" customFormat="1" ht="15" hidden="1" customHeight="1" outlineLevel="2" x14ac:dyDescent="0.3">
      <c r="A232" s="26"/>
      <c r="B232" s="12" t="str">
        <f>CONCATENATE("          ","6292"," - ","TRAVEL/CONFERENCE")</f>
        <v xml:space="preserve">          6292 - TRAVEL/CONFERENCE</v>
      </c>
      <c r="C232" s="12"/>
      <c r="D232" s="8"/>
      <c r="E232" s="3"/>
      <c r="F232" s="7">
        <f t="shared" si="44"/>
        <v>0</v>
      </c>
      <c r="G232" s="3"/>
      <c r="H232" s="8"/>
      <c r="I232" s="3"/>
      <c r="J232" s="7">
        <f t="shared" si="45"/>
        <v>0</v>
      </c>
      <c r="K232" s="3"/>
      <c r="L232" s="8">
        <f t="shared" si="46"/>
        <v>0</v>
      </c>
      <c r="M232" s="3"/>
      <c r="N232" s="7">
        <f t="shared" si="47"/>
        <v>0</v>
      </c>
      <c r="O232" s="12"/>
      <c r="P232" s="8">
        <v>495</v>
      </c>
      <c r="Q232" s="3"/>
      <c r="R232" s="7">
        <f t="shared" si="48"/>
        <v>7.6281450115667866E-5</v>
      </c>
      <c r="S232" s="3"/>
      <c r="T232" s="8">
        <v>299.16000000000003</v>
      </c>
      <c r="U232" s="3"/>
      <c r="V232" s="7">
        <f t="shared" si="49"/>
        <v>5.2754929015788299E-5</v>
      </c>
      <c r="W232" s="3"/>
      <c r="X232" s="8">
        <f t="shared" si="50"/>
        <v>195.83999999999997</v>
      </c>
      <c r="Y232" s="3"/>
      <c r="Z232" s="7">
        <f t="shared" si="51"/>
        <v>0.65463297232250284</v>
      </c>
    </row>
    <row r="233" spans="1:26" s="69" customFormat="1" ht="15" hidden="1" customHeight="1" outlineLevel="2" x14ac:dyDescent="0.3">
      <c r="A233" s="26"/>
      <c r="B233" s="12" t="str">
        <f>CONCATENATE("          ","6294"," - ","TRAVEL OPERATIONAL")</f>
        <v xml:space="preserve">          6294 - TRAVEL OPERATIONAL</v>
      </c>
      <c r="C233" s="12"/>
      <c r="D233" s="8">
        <v>116.74</v>
      </c>
      <c r="E233" s="3"/>
      <c r="F233" s="7">
        <f t="shared" si="44"/>
        <v>1.2288225863864961E-4</v>
      </c>
      <c r="G233" s="3"/>
      <c r="H233" s="8"/>
      <c r="I233" s="3"/>
      <c r="J233" s="7">
        <f t="shared" si="45"/>
        <v>0</v>
      </c>
      <c r="K233" s="3"/>
      <c r="L233" s="8">
        <f t="shared" si="46"/>
        <v>116.74</v>
      </c>
      <c r="M233" s="3"/>
      <c r="N233" s="7">
        <f t="shared" si="47"/>
        <v>0</v>
      </c>
      <c r="O233" s="12"/>
      <c r="P233" s="8">
        <v>356.67</v>
      </c>
      <c r="Q233" s="3"/>
      <c r="R233" s="7">
        <f t="shared" si="48"/>
        <v>5.4964252146980322E-5</v>
      </c>
      <c r="S233" s="3"/>
      <c r="T233" s="8">
        <v>451.26</v>
      </c>
      <c r="U233" s="3"/>
      <c r="V233" s="7">
        <f t="shared" si="49"/>
        <v>7.9576779207329274E-5</v>
      </c>
      <c r="W233" s="3"/>
      <c r="X233" s="8">
        <f t="shared" si="50"/>
        <v>-94.589999999999975</v>
      </c>
      <c r="Y233" s="3"/>
      <c r="Z233" s="7">
        <f t="shared" si="51"/>
        <v>-0.20961308336657355</v>
      </c>
    </row>
    <row r="234" spans="1:26" s="69" customFormat="1" ht="15" hidden="1" customHeight="1" outlineLevel="2" x14ac:dyDescent="0.3">
      <c r="A234" s="26"/>
      <c r="B234" s="12" t="str">
        <f>CONCATENATE("          ","6298"," - ","VEHICLE MILEAGE")</f>
        <v xml:space="preserve">          6298 - VEHICLE MILEAGE</v>
      </c>
      <c r="C234" s="12"/>
      <c r="D234" s="8">
        <v>90.01</v>
      </c>
      <c r="E234" s="3"/>
      <c r="F234" s="7">
        <f t="shared" si="44"/>
        <v>9.4745863457810963E-5</v>
      </c>
      <c r="G234" s="3"/>
      <c r="H234" s="8"/>
      <c r="I234" s="3"/>
      <c r="J234" s="7">
        <f t="shared" si="45"/>
        <v>0</v>
      </c>
      <c r="K234" s="3"/>
      <c r="L234" s="8">
        <f t="shared" si="46"/>
        <v>90.01</v>
      </c>
      <c r="M234" s="3"/>
      <c r="N234" s="7">
        <f t="shared" si="47"/>
        <v>0</v>
      </c>
      <c r="O234" s="12"/>
      <c r="P234" s="8">
        <v>237.09</v>
      </c>
      <c r="Q234" s="3"/>
      <c r="R234" s="7">
        <f t="shared" si="48"/>
        <v>3.6536503046310496E-5</v>
      </c>
      <c r="S234" s="3"/>
      <c r="T234" s="8">
        <v>59.89</v>
      </c>
      <c r="U234" s="3"/>
      <c r="V234" s="7">
        <f t="shared" si="49"/>
        <v>1.0561213727622547E-5</v>
      </c>
      <c r="W234" s="3"/>
      <c r="X234" s="8">
        <f t="shared" si="50"/>
        <v>177.2</v>
      </c>
      <c r="Y234" s="3"/>
      <c r="Z234" s="7">
        <f t="shared" si="51"/>
        <v>2.9587577224912338</v>
      </c>
    </row>
    <row r="235" spans="1:26" s="68" customFormat="1" ht="15" customHeight="1" outlineLevel="1" collapsed="1" x14ac:dyDescent="0.3">
      <c r="A235" s="25"/>
      <c r="B235" s="14" t="str">
        <f>CONCATENATE("     ","Utilities                                         ")</f>
        <v xml:space="preserve">     Utilities                                         </v>
      </c>
      <c r="C235" s="14"/>
      <c r="D235" s="2">
        <f>SUM(OSRRefD22_24x_0)</f>
        <v>6355.65</v>
      </c>
      <c r="E235" s="2"/>
      <c r="F235" s="6">
        <f t="shared" si="44"/>
        <v>6.6900516285483417E-3</v>
      </c>
      <c r="G235" s="2"/>
      <c r="H235" s="2">
        <f>SUM(OSRRefH22_24x_0)</f>
        <v>6161.14</v>
      </c>
      <c r="I235" s="2"/>
      <c r="J235" s="6">
        <f t="shared" si="45"/>
        <v>1.5847571688119268E-2</v>
      </c>
      <c r="K235" s="2"/>
      <c r="L235" s="2">
        <f t="shared" si="46"/>
        <v>194.50999999999931</v>
      </c>
      <c r="M235" s="2"/>
      <c r="N235" s="6">
        <f t="shared" si="47"/>
        <v>3.1570456116887344E-2</v>
      </c>
      <c r="O235" s="14"/>
      <c r="P235" s="2">
        <f>SUM(OSRRefP22_24x_0)</f>
        <v>42895.07</v>
      </c>
      <c r="Q235" s="2"/>
      <c r="R235" s="6">
        <f t="shared" si="48"/>
        <v>6.6102992776021843E-3</v>
      </c>
      <c r="S235" s="2"/>
      <c r="T235" s="2">
        <f>SUM(OSRRefT22_24x_0)</f>
        <v>49088.17</v>
      </c>
      <c r="U235" s="2"/>
      <c r="V235" s="6">
        <f t="shared" si="49"/>
        <v>8.6563809461991867E-3</v>
      </c>
      <c r="W235" s="2"/>
      <c r="X235" s="2">
        <f t="shared" si="50"/>
        <v>-6193.0999999999985</v>
      </c>
      <c r="Y235" s="2"/>
      <c r="Z235" s="6">
        <f t="shared" si="51"/>
        <v>-0.1261627801566039</v>
      </c>
    </row>
    <row r="236" spans="1:26" s="69" customFormat="1" ht="15" hidden="1" customHeight="1" outlineLevel="2" x14ac:dyDescent="0.3">
      <c r="A236" s="26"/>
      <c r="B236" s="12" t="str">
        <f>CONCATENATE("          ","6274"," - ","UTILITIES")</f>
        <v xml:space="preserve">          6274 - UTILITIES</v>
      </c>
      <c r="C236" s="12"/>
      <c r="D236" s="8">
        <v>6355.65</v>
      </c>
      <c r="E236" s="3"/>
      <c r="F236" s="7">
        <f t="shared" si="44"/>
        <v>6.6900516285483417E-3</v>
      </c>
      <c r="G236" s="3"/>
      <c r="H236" s="8">
        <v>6161.14</v>
      </c>
      <c r="I236" s="3"/>
      <c r="J236" s="7">
        <f t="shared" si="45"/>
        <v>1.5847571688119268E-2</v>
      </c>
      <c r="K236" s="3"/>
      <c r="L236" s="8">
        <f t="shared" si="46"/>
        <v>194.50999999999931</v>
      </c>
      <c r="M236" s="3"/>
      <c r="N236" s="7">
        <f t="shared" si="47"/>
        <v>3.1570456116887344E-2</v>
      </c>
      <c r="O236" s="12"/>
      <c r="P236" s="8">
        <v>42895.07</v>
      </c>
      <c r="Q236" s="3"/>
      <c r="R236" s="7">
        <f t="shared" si="48"/>
        <v>6.6102992776021843E-3</v>
      </c>
      <c r="S236" s="3"/>
      <c r="T236" s="8">
        <v>49088.17</v>
      </c>
      <c r="U236" s="3"/>
      <c r="V236" s="7">
        <f t="shared" si="49"/>
        <v>8.6563809461991867E-3</v>
      </c>
      <c r="W236" s="3"/>
      <c r="X236" s="8">
        <f t="shared" si="50"/>
        <v>-6193.0999999999985</v>
      </c>
      <c r="Y236" s="3"/>
      <c r="Z236" s="7">
        <f t="shared" si="51"/>
        <v>-0.1261627801566039</v>
      </c>
    </row>
    <row r="237" spans="1:26" s="64" customFormat="1" ht="15" customHeight="1" x14ac:dyDescent="0.3">
      <c r="A237" s="36"/>
      <c r="B237" s="36"/>
      <c r="C237" s="36"/>
      <c r="D237" s="2"/>
      <c r="E237" s="2"/>
      <c r="F237" s="6"/>
      <c r="G237" s="2"/>
      <c r="H237" s="2"/>
      <c r="I237" s="2"/>
      <c r="J237" s="6"/>
      <c r="K237" s="2"/>
      <c r="L237" s="2"/>
      <c r="M237" s="2"/>
      <c r="N237" s="6"/>
      <c r="O237" s="36"/>
      <c r="P237" s="2"/>
      <c r="Q237" s="2"/>
      <c r="R237" s="6"/>
      <c r="S237" s="2"/>
      <c r="T237" s="2"/>
      <c r="U237" s="2"/>
      <c r="V237" s="6"/>
      <c r="W237" s="2"/>
      <c r="X237" s="2"/>
      <c r="Y237" s="2"/>
      <c r="Z237" s="6"/>
    </row>
    <row r="238" spans="1:26" s="62" customFormat="1" ht="15" customHeight="1" collapsed="1" x14ac:dyDescent="0.3">
      <c r="A238" s="11"/>
      <c r="B238" s="27" t="s">
        <v>290</v>
      </c>
      <c r="C238" s="11"/>
      <c r="D238" s="5">
        <f>SUM(OSRRefD25x_0)</f>
        <v>212753.63999999998</v>
      </c>
      <c r="E238" s="5"/>
      <c r="F238" s="13">
        <f t="shared" ref="F238:F244" si="52">IF(D$12=0,0,D238/D$12)</f>
        <v>0.22394764276849535</v>
      </c>
      <c r="G238" s="5"/>
      <c r="H238" s="5">
        <f>SUM(OSRRefH25x_0)</f>
        <v>197526.39999999999</v>
      </c>
      <c r="I238" s="5"/>
      <c r="J238" s="13">
        <f t="shared" ref="J238:J244" si="53">IF(H$12=0,0,H238/H$12)</f>
        <v>0.50807379548202469</v>
      </c>
      <c r="K238" s="5"/>
      <c r="L238" s="5">
        <f t="shared" ref="L238:L244" si="54">+D238-H238</f>
        <v>15227.239999999991</v>
      </c>
      <c r="M238" s="5"/>
      <c r="N238" s="13">
        <f t="shared" ref="N238:N244" si="55">IF(H238=0,0,L238/H238)</f>
        <v>7.7089644725970768E-2</v>
      </c>
      <c r="O238" s="11"/>
      <c r="P238" s="5">
        <f>SUM(OSRRefP25x_0)</f>
        <v>732492.80999999994</v>
      </c>
      <c r="Q238" s="5"/>
      <c r="R238" s="13">
        <f t="shared" ref="R238:R244" si="56">IF(P$12=0,0,P238/P$12)</f>
        <v>0.11288002776989975</v>
      </c>
      <c r="S238" s="5"/>
      <c r="T238" s="5">
        <f>SUM(OSRRefT25x_0)</f>
        <v>774534.05</v>
      </c>
      <c r="U238" s="5"/>
      <c r="V238" s="13">
        <f t="shared" ref="V238:V244" si="57">IF(T$12=0,0,T238/T$12)</f>
        <v>0.13658406480833343</v>
      </c>
      <c r="W238" s="5"/>
      <c r="X238" s="5">
        <f t="shared" ref="X238:X244" si="58">+P238-T238</f>
        <v>-42041.240000000107</v>
      </c>
      <c r="Y238" s="5"/>
      <c r="Z238" s="13">
        <f t="shared" ref="Z238:Z244" si="59">IF(T238=0,0,X238/T238)</f>
        <v>-5.4279395463634042E-2</v>
      </c>
    </row>
    <row r="239" spans="1:26" s="69" customFormat="1" ht="15" hidden="1" customHeight="1" outlineLevel="1" x14ac:dyDescent="0.3">
      <c r="A239" s="42"/>
      <c r="B239" s="12" t="str">
        <f>CONCATENATE("          ","4187"," - ","NON-TAXABLE SALES-COMPUTER REP")</f>
        <v xml:space="preserve">          4187 - NON-TAXABLE SALES-COMPUTER REP</v>
      </c>
      <c r="C239" s="12"/>
      <c r="D239" s="3">
        <f>0</f>
        <v>0</v>
      </c>
      <c r="E239" s="3"/>
      <c r="F239" s="20">
        <f t="shared" si="52"/>
        <v>0</v>
      </c>
      <c r="G239" s="3"/>
      <c r="H239" s="3">
        <f>-231.36</f>
        <v>-231.36</v>
      </c>
      <c r="I239" s="3"/>
      <c r="J239" s="20">
        <f t="shared" si="53"/>
        <v>-5.95099962955439E-4</v>
      </c>
      <c r="K239" s="3"/>
      <c r="L239" s="3">
        <f t="shared" si="54"/>
        <v>231.36</v>
      </c>
      <c r="M239" s="3"/>
      <c r="N239" s="20">
        <f t="shared" si="55"/>
        <v>-1</v>
      </c>
      <c r="O239" s="12"/>
      <c r="P239" s="3">
        <f>0</f>
        <v>0</v>
      </c>
      <c r="Q239" s="3"/>
      <c r="R239" s="20">
        <f t="shared" si="56"/>
        <v>0</v>
      </c>
      <c r="S239" s="3"/>
      <c r="T239" s="3">
        <f>--1454.51</f>
        <v>1454.51</v>
      </c>
      <c r="U239" s="3"/>
      <c r="V239" s="20">
        <f t="shared" si="57"/>
        <v>2.5649342092109317E-4</v>
      </c>
      <c r="W239" s="3"/>
      <c r="X239" s="3">
        <f t="shared" si="58"/>
        <v>-1454.51</v>
      </c>
      <c r="Y239" s="3"/>
      <c r="Z239" s="20">
        <f t="shared" si="59"/>
        <v>-1</v>
      </c>
    </row>
    <row r="240" spans="1:26" s="69" customFormat="1" ht="15" hidden="1" customHeight="1" outlineLevel="1" x14ac:dyDescent="0.3">
      <c r="A240" s="42"/>
      <c r="B240" s="12" t="str">
        <f>CONCATENATE("          ","9087"," - ","")</f>
        <v xml:space="preserve">          9087 - </v>
      </c>
      <c r="C240" s="12"/>
      <c r="D240" s="3">
        <f>--576.08</f>
        <v>576.08000000000004</v>
      </c>
      <c r="E240" s="3"/>
      <c r="F240" s="20">
        <f t="shared" si="52"/>
        <v>6.0639036796773403E-4</v>
      </c>
      <c r="G240" s="3"/>
      <c r="H240" s="3">
        <f>0</f>
        <v>0</v>
      </c>
      <c r="I240" s="3"/>
      <c r="J240" s="20">
        <f t="shared" si="53"/>
        <v>0</v>
      </c>
      <c r="K240" s="3"/>
      <c r="L240" s="3">
        <f t="shared" si="54"/>
        <v>576.08000000000004</v>
      </c>
      <c r="M240" s="3"/>
      <c r="N240" s="20">
        <f t="shared" si="55"/>
        <v>0</v>
      </c>
      <c r="O240" s="12"/>
      <c r="P240" s="3">
        <f>--2207.09</f>
        <v>2207.09</v>
      </c>
      <c r="Q240" s="3"/>
      <c r="R240" s="20">
        <f t="shared" si="56"/>
        <v>3.4012126411270586E-4</v>
      </c>
      <c r="S240" s="3"/>
      <c r="T240" s="3">
        <f>0</f>
        <v>0</v>
      </c>
      <c r="U240" s="3"/>
      <c r="V240" s="20">
        <f t="shared" si="57"/>
        <v>0</v>
      </c>
      <c r="W240" s="3"/>
      <c r="X240" s="3">
        <f t="shared" si="58"/>
        <v>2207.09</v>
      </c>
      <c r="Y240" s="3"/>
      <c r="Z240" s="20">
        <f t="shared" si="59"/>
        <v>0</v>
      </c>
    </row>
    <row r="241" spans="1:26" s="69" customFormat="1" ht="15" hidden="1" customHeight="1" outlineLevel="1" x14ac:dyDescent="0.3">
      <c r="A241" s="42"/>
      <c r="B241" s="12" t="str">
        <f>CONCATENATE("          ","9150"," - ","MISC. INCOME")</f>
        <v xml:space="preserve">          9150 - MISC. INCOME</v>
      </c>
      <c r="C241" s="12"/>
      <c r="D241" s="3">
        <f>--59463.88</f>
        <v>59463.88</v>
      </c>
      <c r="E241" s="3"/>
      <c r="F241" s="20">
        <f t="shared" si="52"/>
        <v>6.2592563661278258E-2</v>
      </c>
      <c r="G241" s="3"/>
      <c r="H241" s="3">
        <f>--53009.34</f>
        <v>53009.34</v>
      </c>
      <c r="I241" s="3"/>
      <c r="J241" s="20">
        <f t="shared" si="53"/>
        <v>0.1363496553868096</v>
      </c>
      <c r="K241" s="3"/>
      <c r="L241" s="3">
        <f t="shared" si="54"/>
        <v>6454.5400000000009</v>
      </c>
      <c r="M241" s="3"/>
      <c r="N241" s="20">
        <f t="shared" si="55"/>
        <v>0.12176231584849012</v>
      </c>
      <c r="O241" s="12"/>
      <c r="P241" s="3">
        <f>--322880.69</f>
        <v>322880.69</v>
      </c>
      <c r="Q241" s="3"/>
      <c r="R241" s="20">
        <f t="shared" si="56"/>
        <v>4.9757186358681663E-2</v>
      </c>
      <c r="S241" s="3"/>
      <c r="T241" s="3">
        <f>--300435.63</f>
        <v>300435.63</v>
      </c>
      <c r="U241" s="3"/>
      <c r="V241" s="20">
        <f t="shared" si="57"/>
        <v>5.2979878106911474E-2</v>
      </c>
      <c r="W241" s="3"/>
      <c r="X241" s="3">
        <f t="shared" si="58"/>
        <v>22445.059999999998</v>
      </c>
      <c r="Y241" s="3"/>
      <c r="Z241" s="20">
        <f t="shared" si="59"/>
        <v>7.4708382624257968E-2</v>
      </c>
    </row>
    <row r="242" spans="1:26" s="69" customFormat="1" ht="15" hidden="1" customHeight="1" outlineLevel="1" x14ac:dyDescent="0.3">
      <c r="A242" s="42"/>
      <c r="B242" s="12" t="str">
        <f>CONCATENATE("          ","9151"," - ","MISC. INCOME")</f>
        <v xml:space="preserve">          9151 - MISC. INCOME</v>
      </c>
      <c r="C242" s="12"/>
      <c r="D242" s="3">
        <f>--152339.59</f>
        <v>152339.59</v>
      </c>
      <c r="E242" s="3"/>
      <c r="F242" s="20">
        <f t="shared" si="52"/>
        <v>0.16035491604664931</v>
      </c>
      <c r="G242" s="3"/>
      <c r="H242" s="3">
        <f>--148653.31</f>
        <v>148653.31</v>
      </c>
      <c r="I242" s="3"/>
      <c r="J242" s="20">
        <f t="shared" si="53"/>
        <v>0.38236332673843099</v>
      </c>
      <c r="K242" s="3"/>
      <c r="L242" s="3">
        <f t="shared" si="54"/>
        <v>3686.2799999999988</v>
      </c>
      <c r="M242" s="3"/>
      <c r="N242" s="20">
        <f t="shared" si="55"/>
        <v>2.4797833294125767E-2</v>
      </c>
      <c r="O242" s="12"/>
      <c r="P242" s="3">
        <f>--323761.7</f>
        <v>323761.7</v>
      </c>
      <c r="Q242" s="3"/>
      <c r="R242" s="20">
        <f t="shared" si="56"/>
        <v>4.9892953470532984E-2</v>
      </c>
      <c r="S242" s="3"/>
      <c r="T242" s="3">
        <f>--297910.7</f>
        <v>297910.7</v>
      </c>
      <c r="U242" s="3"/>
      <c r="V242" s="20">
        <f t="shared" si="57"/>
        <v>5.2534623049685127E-2</v>
      </c>
      <c r="W242" s="3"/>
      <c r="X242" s="3">
        <f t="shared" si="58"/>
        <v>25851</v>
      </c>
      <c r="Y242" s="3"/>
      <c r="Z242" s="20">
        <f t="shared" si="59"/>
        <v>8.6774325326347795E-2</v>
      </c>
    </row>
    <row r="243" spans="1:26" s="69" customFormat="1" ht="15" hidden="1" customHeight="1" outlineLevel="1" x14ac:dyDescent="0.3">
      <c r="A243" s="42"/>
      <c r="B243" s="12" t="str">
        <f>CONCATENATE("          ","9152"," - ","MISC. INCOME")</f>
        <v xml:space="preserve">          9152 - MISC. INCOME</v>
      </c>
      <c r="C243" s="12"/>
      <c r="D243" s="3">
        <f>--374.09</f>
        <v>374.09</v>
      </c>
      <c r="E243" s="3"/>
      <c r="F243" s="20">
        <f t="shared" si="52"/>
        <v>3.9377269260007221E-4</v>
      </c>
      <c r="G243" s="3"/>
      <c r="H243" s="3">
        <f>--81.19</f>
        <v>81.19</v>
      </c>
      <c r="I243" s="3"/>
      <c r="J243" s="20">
        <f t="shared" si="53"/>
        <v>2.0883543392268366E-4</v>
      </c>
      <c r="K243" s="3"/>
      <c r="L243" s="3">
        <f t="shared" si="54"/>
        <v>292.89999999999998</v>
      </c>
      <c r="M243" s="3"/>
      <c r="N243" s="20">
        <f t="shared" si="55"/>
        <v>3.6075871412735556</v>
      </c>
      <c r="O243" s="12"/>
      <c r="P243" s="3">
        <f>--3867.63</f>
        <v>3867.63</v>
      </c>
      <c r="Q243" s="3"/>
      <c r="R243" s="20">
        <f t="shared" si="56"/>
        <v>5.960170200219405E-4</v>
      </c>
      <c r="S243" s="3"/>
      <c r="T243" s="3">
        <f>--3313.45</f>
        <v>3313.45</v>
      </c>
      <c r="U243" s="3"/>
      <c r="V243" s="20">
        <f t="shared" si="57"/>
        <v>5.8430545376174532E-4</v>
      </c>
      <c r="W243" s="3"/>
      <c r="X243" s="3">
        <f t="shared" si="58"/>
        <v>554.18000000000029</v>
      </c>
      <c r="Y243" s="3"/>
      <c r="Z243" s="20">
        <f t="shared" si="59"/>
        <v>0.16725165612880843</v>
      </c>
    </row>
    <row r="244" spans="1:26" s="69" customFormat="1" ht="15" hidden="1" customHeight="1" outlineLevel="1" x14ac:dyDescent="0.3">
      <c r="A244" s="42"/>
      <c r="B244" s="12" t="str">
        <f>CONCATENATE("          ","9163"," - ","MISC. INCOME")</f>
        <v xml:space="preserve">          9163 - MISC. INCOME</v>
      </c>
      <c r="C244" s="12"/>
      <c r="D244" s="3">
        <f>0</f>
        <v>0</v>
      </c>
      <c r="E244" s="3"/>
      <c r="F244" s="20">
        <f t="shared" si="52"/>
        <v>0</v>
      </c>
      <c r="G244" s="3"/>
      <c r="H244" s="3">
        <f>-3986.08</f>
        <v>-3986.08</v>
      </c>
      <c r="I244" s="3"/>
      <c r="J244" s="20">
        <f t="shared" si="53"/>
        <v>-1.0252922114183162E-2</v>
      </c>
      <c r="K244" s="3"/>
      <c r="L244" s="3">
        <f t="shared" si="54"/>
        <v>3986.08</v>
      </c>
      <c r="M244" s="3"/>
      <c r="N244" s="20">
        <f t="shared" si="55"/>
        <v>-1</v>
      </c>
      <c r="O244" s="12"/>
      <c r="P244" s="3">
        <f>--79775.7</f>
        <v>79775.7</v>
      </c>
      <c r="Q244" s="3"/>
      <c r="R244" s="20">
        <f t="shared" si="56"/>
        <v>1.2293749656550475E-2</v>
      </c>
      <c r="S244" s="3"/>
      <c r="T244" s="3">
        <f>--171419.76</f>
        <v>171419.76</v>
      </c>
      <c r="U244" s="3"/>
      <c r="V244" s="20">
        <f t="shared" si="57"/>
        <v>3.0228764777053971E-2</v>
      </c>
      <c r="W244" s="3"/>
      <c r="X244" s="3">
        <f t="shared" si="58"/>
        <v>-91644.060000000012</v>
      </c>
      <c r="Y244" s="3"/>
      <c r="Z244" s="20">
        <f t="shared" si="59"/>
        <v>-0.53461782935642899</v>
      </c>
    </row>
    <row r="245" spans="1:26" ht="15" customHeight="1" x14ac:dyDescent="0.3">
      <c r="A245" s="10"/>
      <c r="B245" s="11"/>
      <c r="C245" s="11"/>
      <c r="D245" s="4"/>
      <c r="E245" s="4"/>
      <c r="F245" s="9"/>
      <c r="G245" s="4"/>
      <c r="H245" s="4"/>
      <c r="I245" s="4"/>
      <c r="J245" s="9"/>
      <c r="K245" s="4"/>
      <c r="L245" s="4"/>
      <c r="M245" s="4"/>
      <c r="N245" s="9"/>
      <c r="O245" s="11"/>
      <c r="P245" s="4"/>
      <c r="Q245" s="4"/>
      <c r="R245" s="9"/>
      <c r="S245" s="4"/>
      <c r="T245" s="4"/>
      <c r="U245" s="4"/>
      <c r="V245" s="9"/>
      <c r="W245" s="4"/>
      <c r="X245" s="4"/>
      <c r="Y245" s="4"/>
      <c r="Z245" s="9"/>
    </row>
    <row r="246" spans="1:26" s="62" customFormat="1" ht="15" customHeight="1" x14ac:dyDescent="0.3">
      <c r="A246" s="11"/>
      <c r="B246" s="28" t="s">
        <v>291</v>
      </c>
      <c r="C246" s="28"/>
      <c r="D246" s="23">
        <f>+D146-D148+D238</f>
        <v>285882.33000000007</v>
      </c>
      <c r="E246" s="15"/>
      <c r="F246" s="22">
        <f>IF(D$12=0,0,D246/D$12)</f>
        <v>0.30092398848106722</v>
      </c>
      <c r="G246" s="15"/>
      <c r="H246" s="23">
        <f>+H146-H148+H238</f>
        <v>25728.609999999899</v>
      </c>
      <c r="I246" s="15"/>
      <c r="J246" s="22">
        <f>IF(H$12=0,0,H246/H$12)</f>
        <v>6.6178660347056009E-2</v>
      </c>
      <c r="K246" s="17"/>
      <c r="L246" s="23">
        <f>+D246-H246</f>
        <v>260153.72000000018</v>
      </c>
      <c r="M246" s="17"/>
      <c r="N246" s="22">
        <f>IF(H246=0,0,L246/H246)</f>
        <v>10.111456468110838</v>
      </c>
      <c r="O246" s="27"/>
      <c r="P246" s="23">
        <f>+P146-P148+P238</f>
        <v>401794.58000000089</v>
      </c>
      <c r="Q246" s="15"/>
      <c r="R246" s="22">
        <f>IF(P$12=0,0,P246/P$12)</f>
        <v>6.1918127699021802E-2</v>
      </c>
      <c r="S246" s="15"/>
      <c r="T246" s="23">
        <f>+T146-T148+T238</f>
        <v>51078.240000000922</v>
      </c>
      <c r="U246" s="15"/>
      <c r="V246" s="22">
        <f>IF(T$12=0,0,T246/T$12)</f>
        <v>9.0073169055069104E-3</v>
      </c>
      <c r="W246" s="17"/>
      <c r="X246" s="23">
        <f>+P246-T246</f>
        <v>350716.33999999997</v>
      </c>
      <c r="Y246" s="17"/>
      <c r="Z246" s="22">
        <f>IF(T246=0,0,X246/T246)</f>
        <v>6.8662573338469306</v>
      </c>
    </row>
    <row r="247" spans="1:26" ht="15" customHeight="1" x14ac:dyDescent="0.3">
      <c r="A247" s="10"/>
      <c r="B247" s="11"/>
      <c r="C247" s="10"/>
      <c r="D247" s="4"/>
      <c r="E247" s="4"/>
      <c r="F247" s="9"/>
      <c r="G247" s="4"/>
      <c r="H247" s="4"/>
      <c r="I247" s="4"/>
      <c r="J247" s="9"/>
      <c r="K247" s="4"/>
      <c r="L247" s="4"/>
      <c r="M247" s="4"/>
      <c r="N247" s="9"/>
      <c r="P247" s="4"/>
      <c r="Q247" s="4"/>
      <c r="R247" s="9"/>
      <c r="S247" s="4"/>
      <c r="T247" s="4"/>
      <c r="U247" s="4"/>
      <c r="V247" s="9"/>
      <c r="W247" s="4"/>
      <c r="X247" s="4"/>
      <c r="Y247" s="4"/>
      <c r="Z247" s="9"/>
    </row>
    <row r="248" spans="1:26" s="62" customFormat="1" ht="15" customHeight="1" x14ac:dyDescent="0.3">
      <c r="A248" s="48"/>
      <c r="B248" s="11" t="s">
        <v>292</v>
      </c>
      <c r="C248" s="11"/>
      <c r="D248" s="5">
        <v>76792.63</v>
      </c>
      <c r="E248" s="5"/>
      <c r="F248" s="13">
        <f>IF(D$12=0,0,D248/D$12)</f>
        <v>8.0833063399024532E-2</v>
      </c>
      <c r="G248" s="5"/>
      <c r="H248" s="5">
        <v>164193.13</v>
      </c>
      <c r="I248" s="5"/>
      <c r="J248" s="13">
        <f>IF(H$12=0,0,H248/H$12)</f>
        <v>0.42233456768904559</v>
      </c>
      <c r="K248" s="5"/>
      <c r="L248" s="5">
        <f>+D248-H248</f>
        <v>-87400.5</v>
      </c>
      <c r="M248" s="5"/>
      <c r="N248" s="13">
        <f>IF(H248=0,0,L248/H248)</f>
        <v>-0.53230302632028514</v>
      </c>
      <c r="O248" s="11"/>
      <c r="P248" s="5">
        <v>809990.36</v>
      </c>
      <c r="Q248" s="5"/>
      <c r="R248" s="13">
        <f>IF(P$12=0,0,P248/P$12)</f>
        <v>0.12482270553638759</v>
      </c>
      <c r="S248" s="5"/>
      <c r="T248" s="5">
        <v>1123011.28</v>
      </c>
      <c r="U248" s="5"/>
      <c r="V248" s="13">
        <f>IF(T$12=0,0,T248/T$12)</f>
        <v>0.19803576801821621</v>
      </c>
      <c r="W248" s="5"/>
      <c r="X248" s="5">
        <f>+P248-T248</f>
        <v>-313020.92000000004</v>
      </c>
      <c r="Y248" s="5"/>
      <c r="Z248" s="13">
        <f>IF(T248=0,0,X248/T248)</f>
        <v>-0.27873354931929095</v>
      </c>
    </row>
    <row r="249" spans="1:26" ht="15" customHeight="1" x14ac:dyDescent="0.3">
      <c r="A249" s="10"/>
      <c r="B249" s="11"/>
      <c r="C249" s="11"/>
      <c r="D249" s="4"/>
      <c r="E249" s="4"/>
      <c r="F249" s="9"/>
      <c r="G249" s="4"/>
      <c r="H249" s="4"/>
      <c r="I249" s="4"/>
      <c r="J249" s="9"/>
      <c r="K249" s="4"/>
      <c r="L249" s="4"/>
      <c r="M249" s="4"/>
      <c r="N249" s="9"/>
      <c r="O249" s="11"/>
      <c r="P249" s="4"/>
      <c r="Q249" s="4"/>
      <c r="R249" s="9"/>
      <c r="S249" s="4"/>
      <c r="T249" s="4"/>
      <c r="U249" s="4"/>
      <c r="V249" s="9"/>
      <c r="W249" s="4"/>
      <c r="X249" s="4"/>
      <c r="Y249" s="4"/>
      <c r="Z249" s="9"/>
    </row>
    <row r="250" spans="1:26" s="62" customFormat="1" ht="15" customHeight="1" x14ac:dyDescent="0.3">
      <c r="A250" s="11"/>
      <c r="B250" s="28" t="s">
        <v>293</v>
      </c>
      <c r="C250" s="28"/>
      <c r="D250" s="33">
        <f>+D246-D248</f>
        <v>209089.70000000007</v>
      </c>
      <c r="E250" s="15"/>
      <c r="F250" s="34">
        <f>IF(D$12=0,0,D250/D$12)</f>
        <v>0.2200909250820427</v>
      </c>
      <c r="G250" s="15"/>
      <c r="H250" s="33">
        <f>+H246-H248</f>
        <v>-138464.52000000011</v>
      </c>
      <c r="I250" s="15"/>
      <c r="J250" s="34">
        <f>IF(H$12=0,0,H250/H$12)</f>
        <v>-0.35615590734198954</v>
      </c>
      <c r="K250" s="17"/>
      <c r="L250" s="33">
        <f>D250-H250</f>
        <v>347554.2200000002</v>
      </c>
      <c r="M250" s="17"/>
      <c r="N250" s="34">
        <f>IF(H250=0,0,L250/H250)</f>
        <v>-2.5100597611575872</v>
      </c>
      <c r="O250" s="27"/>
      <c r="P250" s="33">
        <f>+P246-P248</f>
        <v>-408195.7799999991</v>
      </c>
      <c r="Q250" s="15"/>
      <c r="R250" s="34">
        <f>IF(P$12=0,0,P250/P$12)</f>
        <v>-6.2904577837365791E-2</v>
      </c>
      <c r="S250" s="15"/>
      <c r="T250" s="33">
        <f>+T246-T248</f>
        <v>-1071933.0399999991</v>
      </c>
      <c r="U250" s="15"/>
      <c r="V250" s="34">
        <f>IF(T$12=0,0,T250/T$12)</f>
        <v>-0.18902845111270927</v>
      </c>
      <c r="W250" s="17"/>
      <c r="X250" s="33">
        <f>P250-T250</f>
        <v>663737.26</v>
      </c>
      <c r="Y250" s="17"/>
      <c r="Z250" s="34">
        <f>IF(T250=0,0,X250/T250)</f>
        <v>-0.61919656847222526</v>
      </c>
    </row>
    <row r="251" spans="1:26" ht="15" customHeight="1" x14ac:dyDescent="0.3">
      <c r="A251" s="10"/>
      <c r="B251" s="10"/>
      <c r="C251" s="10"/>
      <c r="D251" s="4"/>
      <c r="E251" s="4"/>
      <c r="F251" s="9"/>
      <c r="G251" s="4"/>
      <c r="H251" s="4"/>
      <c r="I251" s="4"/>
      <c r="J251" s="9"/>
      <c r="K251" s="4"/>
      <c r="L251" s="4"/>
      <c r="M251" s="4"/>
      <c r="N251" s="9"/>
      <c r="P251" s="4"/>
      <c r="Q251" s="4"/>
      <c r="R251" s="9"/>
      <c r="S251" s="4"/>
      <c r="T251" s="4"/>
      <c r="U251" s="4"/>
      <c r="V251" s="9"/>
      <c r="W251" s="4"/>
      <c r="X251" s="4"/>
      <c r="Y251" s="4"/>
      <c r="Z251" s="9"/>
    </row>
    <row r="252" spans="1:26" ht="15" customHeight="1" x14ac:dyDescent="0.3">
      <c r="A252" s="10"/>
      <c r="B252" s="10"/>
      <c r="C252" s="10"/>
      <c r="D252" s="4"/>
      <c r="E252" s="4"/>
      <c r="F252" s="9"/>
      <c r="G252" s="4"/>
      <c r="H252" s="4"/>
      <c r="I252" s="4"/>
      <c r="J252" s="9"/>
      <c r="K252" s="4"/>
      <c r="L252" s="4"/>
      <c r="M252" s="4"/>
      <c r="N252" s="9"/>
      <c r="P252" s="4"/>
      <c r="Q252" s="4"/>
      <c r="R252" s="9"/>
      <c r="S252" s="4"/>
      <c r="T252" s="4"/>
      <c r="U252" s="4"/>
      <c r="V252" s="9"/>
      <c r="W252" s="4"/>
      <c r="X252" s="4"/>
      <c r="Y252" s="4"/>
      <c r="Z252" s="9"/>
    </row>
    <row r="253" spans="1:26" s="62" customFormat="1" ht="15" customHeight="1" x14ac:dyDescent="0.3">
      <c r="A253" s="11"/>
      <c r="B253" s="28" t="s">
        <v>296</v>
      </c>
      <c r="C253" s="28"/>
      <c r="D253" s="35">
        <f>SUM(D250:D252)</f>
        <v>209089.70000000007</v>
      </c>
      <c r="E253" s="15"/>
      <c r="F253" s="29">
        <f>IF(D$12=0,0,D253/D$12)</f>
        <v>0.2200909250820427</v>
      </c>
      <c r="G253" s="15"/>
      <c r="H253" s="35">
        <f>SUM(H250:H252)</f>
        <v>-138464.52000000011</v>
      </c>
      <c r="I253" s="15"/>
      <c r="J253" s="29">
        <f>IF(H$12=0,0,H253/H$12)</f>
        <v>-0.35615590734198954</v>
      </c>
      <c r="K253" s="17"/>
      <c r="L253" s="35">
        <f>+D253-H253</f>
        <v>347554.2200000002</v>
      </c>
      <c r="M253" s="17"/>
      <c r="N253" s="29">
        <f>IF(H253=0,0,L253/H253)</f>
        <v>-2.5100597611575872</v>
      </c>
      <c r="O253" s="27"/>
      <c r="P253" s="35">
        <f>SUM(P250:P252)</f>
        <v>-408195.7799999991</v>
      </c>
      <c r="Q253" s="15"/>
      <c r="R253" s="29">
        <f>IF(P$12=0,0,P253/P$12)</f>
        <v>-6.2904577837365791E-2</v>
      </c>
      <c r="S253" s="15"/>
      <c r="T253" s="35">
        <f>SUM(T250:T252)</f>
        <v>-1071933.0399999991</v>
      </c>
      <c r="U253" s="15"/>
      <c r="V253" s="29">
        <f>IF(T$12=0,0,T253/T$12)</f>
        <v>-0.18902845111270927</v>
      </c>
      <c r="W253" s="17"/>
      <c r="X253" s="35">
        <f>+P253-T253</f>
        <v>663737.26</v>
      </c>
      <c r="Y253" s="17"/>
      <c r="Z253" s="29">
        <f>IF(T253=0,0,X253/T253)</f>
        <v>-0.61919656847222526</v>
      </c>
    </row>
    <row r="254" spans="1:26" ht="15" customHeight="1" x14ac:dyDescent="0.3">
      <c r="A254" s="10"/>
      <c r="C254" s="10"/>
      <c r="D254" s="18"/>
      <c r="E254" s="18"/>
      <c r="G254" s="18"/>
      <c r="H254" s="18"/>
      <c r="I254" s="18"/>
      <c r="J254" s="41"/>
      <c r="K254" s="18"/>
      <c r="L254" s="18"/>
      <c r="M254" s="18"/>
      <c r="P254" s="18"/>
      <c r="Q254" s="18"/>
      <c r="R254" s="41"/>
      <c r="S254" s="18"/>
      <c r="T254" s="18"/>
      <c r="U254" s="18"/>
      <c r="V254" s="41"/>
      <c r="W254" s="18"/>
      <c r="X254" s="18"/>
    </row>
    <row r="255" spans="1:26" ht="15" customHeight="1" x14ac:dyDescent="0.3">
      <c r="A255" s="10"/>
      <c r="B255" s="50">
        <v>44634.887764270832</v>
      </c>
      <c r="D255" s="18"/>
      <c r="E255" s="18"/>
      <c r="G255" s="18"/>
      <c r="H255" s="18"/>
      <c r="I255" s="18"/>
      <c r="J255" s="41"/>
      <c r="K255" s="18"/>
      <c r="L255" s="18"/>
      <c r="M255" s="18"/>
      <c r="P255" s="18"/>
      <c r="Q255" s="18"/>
      <c r="R255" s="41"/>
      <c r="S255" s="18"/>
      <c r="T255" s="18"/>
      <c r="U255" s="18"/>
      <c r="V255" s="41"/>
      <c r="W255" s="18"/>
      <c r="X255" s="18"/>
    </row>
    <row r="256" spans="1:26" ht="15" customHeight="1" x14ac:dyDescent="0.3">
      <c r="A256" s="10"/>
      <c r="B256" s="58" t="s">
        <v>297</v>
      </c>
      <c r="D256" s="18"/>
      <c r="E256" s="18"/>
      <c r="G256" s="18"/>
      <c r="H256" s="18"/>
      <c r="I256" s="18"/>
      <c r="J256" s="41"/>
      <c r="K256" s="18"/>
      <c r="L256" s="18"/>
      <c r="M256" s="18"/>
      <c r="P256" s="18"/>
      <c r="Q256" s="18"/>
      <c r="R256" s="41"/>
      <c r="S256" s="18"/>
      <c r="T256" s="18"/>
      <c r="U256" s="18"/>
      <c r="V256" s="41"/>
      <c r="W256" s="18"/>
      <c r="X256" s="18"/>
    </row>
    <row r="257" spans="1:24" ht="15" customHeight="1" x14ac:dyDescent="0.3">
      <c r="A257" s="10"/>
      <c r="B257" s="56"/>
      <c r="D257" s="18"/>
      <c r="E257" s="18"/>
      <c r="G257" s="18"/>
      <c r="H257" s="18"/>
      <c r="I257" s="18"/>
      <c r="J257" s="41"/>
      <c r="K257" s="18"/>
      <c r="L257" s="18"/>
      <c r="M257" s="18"/>
      <c r="P257" s="18"/>
      <c r="Q257" s="18"/>
      <c r="R257" s="41"/>
      <c r="S257" s="18"/>
      <c r="T257" s="18"/>
      <c r="U257" s="18"/>
      <c r="V257" s="41"/>
      <c r="W257" s="18"/>
      <c r="X257" s="18"/>
    </row>
    <row r="258" spans="1:24" ht="15" customHeight="1" x14ac:dyDescent="0.3">
      <c r="D258" s="18"/>
      <c r="E258" s="18"/>
      <c r="G258" s="18"/>
      <c r="H258" s="18"/>
      <c r="I258" s="18"/>
      <c r="J258" s="41"/>
      <c r="K258" s="18"/>
      <c r="L258" s="18"/>
      <c r="M258" s="18"/>
      <c r="P258" s="18"/>
      <c r="Q258" s="18"/>
      <c r="R258" s="41"/>
      <c r="S258" s="18"/>
      <c r="T258" s="18"/>
      <c r="U258" s="18"/>
      <c r="V258" s="41"/>
      <c r="W258" s="18"/>
      <c r="X258" s="18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E0FB-9E9D-593D-C54B-C1B5630BCCF1}">
  <sheetPr>
    <tabColor rgb="FF92D050"/>
    <outlinePr summaryBelow="0" summaryRight="0"/>
  </sheetPr>
  <dimension ref="A2:Z11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","301"," - ","Bookstore Operations")</f>
        <v>Department 301 - Bookstore Operations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D12-D14</f>
        <v>0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0</v>
      </c>
      <c r="M17" s="17"/>
      <c r="N17" s="22">
        <f>IF(H17=0,0,L17/H17)</f>
        <v>0</v>
      </c>
      <c r="O17" s="27"/>
      <c r="P17" s="23">
        <f>P12-P14</f>
        <v>0</v>
      </c>
      <c r="Q17" s="15"/>
      <c r="R17" s="22">
        <f>IF(P$12=0,0,P17/P$12)</f>
        <v>0</v>
      </c>
      <c r="S17" s="15"/>
      <c r="T17" s="23">
        <f>T12-T14</f>
        <v>0</v>
      </c>
      <c r="U17" s="15"/>
      <c r="V17" s="22">
        <f>IF(T$12=0,0,T17/T$12)</f>
        <v>0</v>
      </c>
      <c r="W17" s="17"/>
      <c r="X17" s="23">
        <f>+P17-T17</f>
        <v>0</v>
      </c>
      <c r="Y17" s="17"/>
      <c r="Z17" s="22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 cm="1">
        <f t="array" ref="D19">SUM(OSRRefD22x_0)</f>
        <v>145000.02000000002</v>
      </c>
      <c r="E19" s="21"/>
      <c r="F19" s="30">
        <f t="shared" ref="F19:F50" si="0">IF(D$12=0,0,D19/D$12)</f>
        <v>0</v>
      </c>
      <c r="G19" s="21"/>
      <c r="H19" s="21" cm="1">
        <f t="array" ref="H19">SUM(OSRRefH22x_0)</f>
        <v>123498.38999999996</v>
      </c>
      <c r="I19" s="21"/>
      <c r="J19" s="30">
        <f t="shared" ref="J19:J50" si="1">IF(H$12=0,0,H19/H$12)</f>
        <v>0</v>
      </c>
      <c r="K19" s="5"/>
      <c r="L19" s="21">
        <f t="shared" ref="L19:L50" si="2">+D19-H19</f>
        <v>21501.630000000063</v>
      </c>
      <c r="M19" s="5"/>
      <c r="N19" s="30">
        <f t="shared" ref="N19:N50" si="3">IF(H19=0,0,L19/H19)</f>
        <v>0.17410453690934813</v>
      </c>
      <c r="O19" s="11"/>
      <c r="P19" s="21" cm="1">
        <f t="array" ref="P19">SUM(OSRRefP22x_0)</f>
        <v>1157952.8400000003</v>
      </c>
      <c r="Q19" s="21"/>
      <c r="R19" s="30">
        <f t="shared" ref="R19:R50" si="4">IF(P$12=0,0,P19/P$12)</f>
        <v>0</v>
      </c>
      <c r="S19" s="21"/>
      <c r="T19" s="21" cm="1">
        <f t="array" ref="T19">SUM(OSRRefT22x_0)</f>
        <v>999545.90000000014</v>
      </c>
      <c r="U19" s="21"/>
      <c r="V19" s="30">
        <f t="shared" ref="V19:V50" si="5">IF(T$12=0,0,T19/T$12)</f>
        <v>0</v>
      </c>
      <c r="W19" s="5"/>
      <c r="X19" s="21">
        <f t="shared" ref="X19:X50" si="6">+P19-T19</f>
        <v>158406.94000000018</v>
      </c>
      <c r="Y19" s="5"/>
      <c r="Z19" s="30">
        <f t="shared" ref="Z19:Z50" si="7">IF(T19=0,0,X19/T19)</f>
        <v>0.15847890527088365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13243.66</v>
      </c>
      <c r="E20" s="2"/>
      <c r="F20" s="6">
        <f t="shared" si="0"/>
        <v>0</v>
      </c>
      <c r="G20" s="2"/>
      <c r="H20" s="2">
        <f>SUM(OSRRefH22_0x_0)</f>
        <v>11356.98</v>
      </c>
      <c r="I20" s="2"/>
      <c r="J20" s="6">
        <f t="shared" si="1"/>
        <v>0</v>
      </c>
      <c r="K20" s="2"/>
      <c r="L20" s="2">
        <f t="shared" si="2"/>
        <v>1886.6800000000003</v>
      </c>
      <c r="M20" s="2"/>
      <c r="N20" s="6">
        <f t="shared" si="3"/>
        <v>0.16612514946755214</v>
      </c>
      <c r="O20" s="14"/>
      <c r="P20" s="2">
        <f>SUM(OSRRefP22_0x_0)</f>
        <v>115814.48999999999</v>
      </c>
      <c r="Q20" s="2"/>
      <c r="R20" s="6">
        <f t="shared" si="4"/>
        <v>0</v>
      </c>
      <c r="S20" s="2"/>
      <c r="T20" s="2">
        <f>SUM(OSRRefT22_0x_0)</f>
        <v>74168.800000000003</v>
      </c>
      <c r="U20" s="2"/>
      <c r="V20" s="6">
        <f t="shared" si="5"/>
        <v>0</v>
      </c>
      <c r="W20" s="2"/>
      <c r="X20" s="2">
        <f t="shared" si="6"/>
        <v>41645.689999999988</v>
      </c>
      <c r="Y20" s="2"/>
      <c r="Z20" s="6">
        <f t="shared" si="7"/>
        <v>0.56149877037244755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2182.9299999999998</v>
      </c>
      <c r="E21" s="3"/>
      <c r="F21" s="7">
        <f t="shared" si="0"/>
        <v>0</v>
      </c>
      <c r="G21" s="3"/>
      <c r="H21" s="8">
        <v>2042.25</v>
      </c>
      <c r="I21" s="3"/>
      <c r="J21" s="7">
        <f t="shared" si="1"/>
        <v>0</v>
      </c>
      <c r="K21" s="3"/>
      <c r="L21" s="8">
        <f t="shared" si="2"/>
        <v>140.67999999999984</v>
      </c>
      <c r="M21" s="3"/>
      <c r="N21" s="7">
        <f t="shared" si="3"/>
        <v>6.8884808422083402E-2</v>
      </c>
      <c r="O21" s="12"/>
      <c r="P21" s="8">
        <v>20767.11</v>
      </c>
      <c r="Q21" s="3"/>
      <c r="R21" s="7">
        <f t="shared" si="4"/>
        <v>0</v>
      </c>
      <c r="S21" s="3"/>
      <c r="T21" s="8">
        <v>19142.330000000002</v>
      </c>
      <c r="U21" s="3"/>
      <c r="V21" s="7">
        <f t="shared" si="5"/>
        <v>0</v>
      </c>
      <c r="W21" s="3"/>
      <c r="X21" s="8">
        <f t="shared" si="6"/>
        <v>1624.7799999999988</v>
      </c>
      <c r="Y21" s="3"/>
      <c r="Z21" s="7">
        <f t="shared" si="7"/>
        <v>8.487890450117612E-2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788.06</v>
      </c>
      <c r="E22" s="3"/>
      <c r="F22" s="7">
        <f t="shared" si="0"/>
        <v>0</v>
      </c>
      <c r="G22" s="3"/>
      <c r="H22" s="8">
        <v>626.67999999999995</v>
      </c>
      <c r="I22" s="3"/>
      <c r="J22" s="7">
        <f t="shared" si="1"/>
        <v>0</v>
      </c>
      <c r="K22" s="3"/>
      <c r="L22" s="8">
        <f t="shared" si="2"/>
        <v>161.38</v>
      </c>
      <c r="M22" s="3"/>
      <c r="N22" s="7">
        <f t="shared" si="3"/>
        <v>0.25751579753622267</v>
      </c>
      <c r="O22" s="12"/>
      <c r="P22" s="8">
        <v>6189.13</v>
      </c>
      <c r="Q22" s="3"/>
      <c r="R22" s="7">
        <f t="shared" si="4"/>
        <v>0</v>
      </c>
      <c r="S22" s="3"/>
      <c r="T22" s="8">
        <v>5858.63</v>
      </c>
      <c r="U22" s="3"/>
      <c r="V22" s="7">
        <f t="shared" si="5"/>
        <v>0</v>
      </c>
      <c r="W22" s="3"/>
      <c r="X22" s="8">
        <f t="shared" si="6"/>
        <v>330.5</v>
      </c>
      <c r="Y22" s="3"/>
      <c r="Z22" s="7">
        <f t="shared" si="7"/>
        <v>5.6412505995428963E-2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4880.57</v>
      </c>
      <c r="E23" s="3"/>
      <c r="F23" s="7">
        <f t="shared" si="0"/>
        <v>0</v>
      </c>
      <c r="G23" s="3"/>
      <c r="H23" s="8">
        <v>5096.28</v>
      </c>
      <c r="I23" s="3"/>
      <c r="J23" s="7">
        <f t="shared" si="1"/>
        <v>0</v>
      </c>
      <c r="K23" s="3"/>
      <c r="L23" s="8">
        <f t="shared" si="2"/>
        <v>-215.71000000000004</v>
      </c>
      <c r="M23" s="3"/>
      <c r="N23" s="7">
        <f t="shared" si="3"/>
        <v>-4.2326952208277417E-2</v>
      </c>
      <c r="O23" s="12"/>
      <c r="P23" s="8">
        <v>42162.22</v>
      </c>
      <c r="Q23" s="3"/>
      <c r="R23" s="7">
        <f t="shared" si="4"/>
        <v>0</v>
      </c>
      <c r="S23" s="3"/>
      <c r="T23" s="8">
        <v>20044.29</v>
      </c>
      <c r="U23" s="3"/>
      <c r="V23" s="7">
        <f t="shared" si="5"/>
        <v>0</v>
      </c>
      <c r="W23" s="3"/>
      <c r="X23" s="8">
        <f t="shared" si="6"/>
        <v>22117.93</v>
      </c>
      <c r="Y23" s="3"/>
      <c r="Z23" s="7">
        <f t="shared" si="7"/>
        <v>1.1034529035450993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140.49</v>
      </c>
      <c r="E24" s="3"/>
      <c r="F24" s="7">
        <f t="shared" si="0"/>
        <v>0</v>
      </c>
      <c r="G24" s="3"/>
      <c r="H24" s="8">
        <v>96.97</v>
      </c>
      <c r="I24" s="3"/>
      <c r="J24" s="7">
        <f t="shared" si="1"/>
        <v>0</v>
      </c>
      <c r="K24" s="3"/>
      <c r="L24" s="8">
        <f t="shared" si="2"/>
        <v>43.52000000000001</v>
      </c>
      <c r="M24" s="3"/>
      <c r="N24" s="7">
        <f t="shared" si="3"/>
        <v>0.44879859750438289</v>
      </c>
      <c r="O24" s="12"/>
      <c r="P24" s="8">
        <v>1104.56</v>
      </c>
      <c r="Q24" s="3"/>
      <c r="R24" s="7">
        <f t="shared" si="4"/>
        <v>0</v>
      </c>
      <c r="S24" s="3"/>
      <c r="T24" s="8">
        <v>917.39</v>
      </c>
      <c r="U24" s="3"/>
      <c r="V24" s="7">
        <f t="shared" si="5"/>
        <v>0</v>
      </c>
      <c r="W24" s="3"/>
      <c r="X24" s="8">
        <f t="shared" si="6"/>
        <v>187.16999999999996</v>
      </c>
      <c r="Y24" s="3"/>
      <c r="Z24" s="7">
        <f t="shared" si="7"/>
        <v>0.20402446069828531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1579.6</v>
      </c>
      <c r="E25" s="3"/>
      <c r="F25" s="7">
        <f t="shared" si="0"/>
        <v>0</v>
      </c>
      <c r="G25" s="3"/>
      <c r="H25" s="8">
        <v>1040.94</v>
      </c>
      <c r="I25" s="3"/>
      <c r="J25" s="7">
        <f t="shared" si="1"/>
        <v>0</v>
      </c>
      <c r="K25" s="3"/>
      <c r="L25" s="8">
        <f t="shared" si="2"/>
        <v>538.65999999999985</v>
      </c>
      <c r="M25" s="3"/>
      <c r="N25" s="7">
        <f t="shared" si="3"/>
        <v>0.51747459027417508</v>
      </c>
      <c r="O25" s="12"/>
      <c r="P25" s="8">
        <v>13153.26</v>
      </c>
      <c r="Q25" s="3"/>
      <c r="R25" s="7">
        <f t="shared" si="4"/>
        <v>0</v>
      </c>
      <c r="S25" s="3"/>
      <c r="T25" s="8">
        <v>10509.83</v>
      </c>
      <c r="U25" s="3"/>
      <c r="V25" s="7">
        <f t="shared" si="5"/>
        <v>0</v>
      </c>
      <c r="W25" s="3"/>
      <c r="X25" s="8">
        <f t="shared" si="6"/>
        <v>2643.4300000000003</v>
      </c>
      <c r="Y25" s="3"/>
      <c r="Z25" s="7">
        <f t="shared" si="7"/>
        <v>0.25151976768415857</v>
      </c>
    </row>
    <row r="26" spans="1:26" s="69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401.9</v>
      </c>
      <c r="U26" s="3"/>
      <c r="V26" s="7">
        <f t="shared" si="5"/>
        <v>0</v>
      </c>
      <c r="W26" s="3"/>
      <c r="X26" s="8">
        <f t="shared" si="6"/>
        <v>-401.9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8">
        <v>374.51</v>
      </c>
      <c r="E27" s="3"/>
      <c r="F27" s="7">
        <f t="shared" si="0"/>
        <v>0</v>
      </c>
      <c r="G27" s="3"/>
      <c r="H27" s="8">
        <v>210.48</v>
      </c>
      <c r="I27" s="3"/>
      <c r="J27" s="7">
        <f t="shared" si="1"/>
        <v>0</v>
      </c>
      <c r="K27" s="3"/>
      <c r="L27" s="8">
        <f t="shared" si="2"/>
        <v>164.03</v>
      </c>
      <c r="M27" s="3"/>
      <c r="N27" s="7">
        <f t="shared" si="3"/>
        <v>0.77931394906879514</v>
      </c>
      <c r="O27" s="12"/>
      <c r="P27" s="8">
        <v>2770.33</v>
      </c>
      <c r="Q27" s="3"/>
      <c r="R27" s="7">
        <f t="shared" si="4"/>
        <v>0</v>
      </c>
      <c r="S27" s="3"/>
      <c r="T27" s="8">
        <v>609.44000000000005</v>
      </c>
      <c r="U27" s="3"/>
      <c r="V27" s="7">
        <f t="shared" si="5"/>
        <v>0</v>
      </c>
      <c r="W27" s="3"/>
      <c r="X27" s="8">
        <f t="shared" si="6"/>
        <v>2160.89</v>
      </c>
      <c r="Y27" s="3"/>
      <c r="Z27" s="7">
        <f t="shared" si="7"/>
        <v>3.5456976896823309</v>
      </c>
    </row>
    <row r="28" spans="1:26" s="69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8">
        <v>1242.79</v>
      </c>
      <c r="E28" s="3"/>
      <c r="F28" s="7">
        <f t="shared" si="0"/>
        <v>0</v>
      </c>
      <c r="G28" s="3"/>
      <c r="H28" s="8">
        <v>1188.92</v>
      </c>
      <c r="I28" s="3"/>
      <c r="J28" s="7">
        <f t="shared" si="1"/>
        <v>0</v>
      </c>
      <c r="K28" s="3"/>
      <c r="L28" s="8">
        <f t="shared" si="2"/>
        <v>53.869999999999891</v>
      </c>
      <c r="M28" s="3"/>
      <c r="N28" s="7">
        <f t="shared" si="3"/>
        <v>4.5310029270261995E-2</v>
      </c>
      <c r="O28" s="12"/>
      <c r="P28" s="8">
        <v>12776.45</v>
      </c>
      <c r="Q28" s="3"/>
      <c r="R28" s="7">
        <f t="shared" si="4"/>
        <v>0</v>
      </c>
      <c r="S28" s="3"/>
      <c r="T28" s="8">
        <v>9071.77</v>
      </c>
      <c r="U28" s="3"/>
      <c r="V28" s="7">
        <f t="shared" si="5"/>
        <v>0</v>
      </c>
      <c r="W28" s="3"/>
      <c r="X28" s="8">
        <f t="shared" si="6"/>
        <v>3704.6800000000003</v>
      </c>
      <c r="Y28" s="3"/>
      <c r="Z28" s="7">
        <f t="shared" si="7"/>
        <v>0.4083745509420984</v>
      </c>
    </row>
    <row r="29" spans="1:26" s="69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8">
        <v>1093.08</v>
      </c>
      <c r="E29" s="3"/>
      <c r="F29" s="7">
        <f t="shared" si="0"/>
        <v>0</v>
      </c>
      <c r="G29" s="3"/>
      <c r="H29" s="8">
        <v>832.35</v>
      </c>
      <c r="I29" s="3"/>
      <c r="J29" s="7">
        <f t="shared" si="1"/>
        <v>0</v>
      </c>
      <c r="K29" s="3"/>
      <c r="L29" s="8">
        <f t="shared" si="2"/>
        <v>260.7299999999999</v>
      </c>
      <c r="M29" s="3"/>
      <c r="N29" s="7">
        <f t="shared" si="3"/>
        <v>0.31324562984321486</v>
      </c>
      <c r="O29" s="12"/>
      <c r="P29" s="8">
        <v>11541.43</v>
      </c>
      <c r="Q29" s="3"/>
      <c r="R29" s="7">
        <f t="shared" si="4"/>
        <v>0</v>
      </c>
      <c r="S29" s="3"/>
      <c r="T29" s="8">
        <v>6102.73</v>
      </c>
      <c r="U29" s="3"/>
      <c r="V29" s="7">
        <f t="shared" si="5"/>
        <v>0</v>
      </c>
      <c r="W29" s="3"/>
      <c r="X29" s="8">
        <f t="shared" si="6"/>
        <v>5438.7000000000007</v>
      </c>
      <c r="Y29" s="3"/>
      <c r="Z29" s="7">
        <f t="shared" si="7"/>
        <v>0.89119131929480755</v>
      </c>
    </row>
    <row r="30" spans="1:26" s="69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961.63</v>
      </c>
      <c r="E30" s="3"/>
      <c r="F30" s="7">
        <f t="shared" si="0"/>
        <v>0</v>
      </c>
      <c r="G30" s="3"/>
      <c r="H30" s="8">
        <v>222.11</v>
      </c>
      <c r="I30" s="3"/>
      <c r="J30" s="7">
        <f t="shared" si="1"/>
        <v>0</v>
      </c>
      <c r="K30" s="3"/>
      <c r="L30" s="8">
        <f t="shared" si="2"/>
        <v>739.52</v>
      </c>
      <c r="M30" s="3"/>
      <c r="N30" s="7">
        <f t="shared" si="3"/>
        <v>3.329521408311197</v>
      </c>
      <c r="O30" s="12"/>
      <c r="P30" s="8">
        <v>5350</v>
      </c>
      <c r="Q30" s="3"/>
      <c r="R30" s="7">
        <f t="shared" si="4"/>
        <v>0</v>
      </c>
      <c r="S30" s="3"/>
      <c r="T30" s="8">
        <v>1510.49</v>
      </c>
      <c r="U30" s="3"/>
      <c r="V30" s="7">
        <f t="shared" si="5"/>
        <v>0</v>
      </c>
      <c r="W30" s="3"/>
      <c r="X30" s="8">
        <f t="shared" si="6"/>
        <v>3839.51</v>
      </c>
      <c r="Y30" s="3"/>
      <c r="Z30" s="7">
        <f t="shared" si="7"/>
        <v>2.5418970003111574</v>
      </c>
    </row>
    <row r="31" spans="1:26" s="68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51007.649999999994</v>
      </c>
      <c r="E31" s="2"/>
      <c r="F31" s="6">
        <f t="shared" si="0"/>
        <v>0</v>
      </c>
      <c r="G31" s="2"/>
      <c r="H31" s="2">
        <f>SUM(OSRRefH22_1x_0)</f>
        <v>35013.24</v>
      </c>
      <c r="I31" s="2"/>
      <c r="J31" s="6">
        <f t="shared" si="1"/>
        <v>0</v>
      </c>
      <c r="K31" s="2"/>
      <c r="L31" s="2">
        <f t="shared" si="2"/>
        <v>15994.409999999996</v>
      </c>
      <c r="M31" s="2"/>
      <c r="N31" s="6">
        <f t="shared" si="3"/>
        <v>0.45681033803212717</v>
      </c>
      <c r="O31" s="14"/>
      <c r="P31" s="2">
        <f>SUM(OSRRefP22_1x_0)</f>
        <v>432429.32999999996</v>
      </c>
      <c r="Q31" s="2"/>
      <c r="R31" s="6">
        <f t="shared" si="4"/>
        <v>0</v>
      </c>
      <c r="S31" s="2"/>
      <c r="T31" s="2">
        <f>SUM(OSRRefT22_1x_0)</f>
        <v>343603.56</v>
      </c>
      <c r="U31" s="2"/>
      <c r="V31" s="6">
        <f t="shared" si="5"/>
        <v>0</v>
      </c>
      <c r="W31" s="2"/>
      <c r="X31" s="2">
        <f t="shared" si="6"/>
        <v>88825.76999999996</v>
      </c>
      <c r="Y31" s="2"/>
      <c r="Z31" s="6">
        <f t="shared" si="7"/>
        <v>0.25851236814892126</v>
      </c>
    </row>
    <row r="32" spans="1:26" s="69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7265.35</v>
      </c>
      <c r="E32" s="3"/>
      <c r="F32" s="7">
        <f t="shared" si="0"/>
        <v>0</v>
      </c>
      <c r="G32" s="3"/>
      <c r="H32" s="8">
        <v>4280.74</v>
      </c>
      <c r="I32" s="3"/>
      <c r="J32" s="7">
        <f t="shared" si="1"/>
        <v>0</v>
      </c>
      <c r="K32" s="3"/>
      <c r="L32" s="8">
        <f t="shared" si="2"/>
        <v>2984.6100000000006</v>
      </c>
      <c r="M32" s="3"/>
      <c r="N32" s="7">
        <f t="shared" si="3"/>
        <v>0.69721823796820193</v>
      </c>
      <c r="O32" s="12"/>
      <c r="P32" s="8">
        <v>40957.550000000003</v>
      </c>
      <c r="Q32" s="3"/>
      <c r="R32" s="7">
        <f t="shared" si="4"/>
        <v>0</v>
      </c>
      <c r="S32" s="3"/>
      <c r="T32" s="8">
        <v>34807.910000000003</v>
      </c>
      <c r="U32" s="3"/>
      <c r="V32" s="7">
        <f t="shared" si="5"/>
        <v>0</v>
      </c>
      <c r="W32" s="3"/>
      <c r="X32" s="8">
        <f t="shared" si="6"/>
        <v>6149.6399999999994</v>
      </c>
      <c r="Y32" s="3"/>
      <c r="Z32" s="7">
        <f t="shared" si="7"/>
        <v>0.17667363538919742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8520.02</v>
      </c>
      <c r="E33" s="3"/>
      <c r="F33" s="7">
        <f t="shared" si="0"/>
        <v>0</v>
      </c>
      <c r="G33" s="3"/>
      <c r="H33" s="8">
        <v>9336.56</v>
      </c>
      <c r="I33" s="3"/>
      <c r="J33" s="7">
        <f t="shared" si="1"/>
        <v>0</v>
      </c>
      <c r="K33" s="3"/>
      <c r="L33" s="8">
        <f t="shared" si="2"/>
        <v>-816.53999999999905</v>
      </c>
      <c r="M33" s="3"/>
      <c r="N33" s="7">
        <f t="shared" si="3"/>
        <v>-8.7456193715886699E-2</v>
      </c>
      <c r="O33" s="12"/>
      <c r="P33" s="8">
        <v>87552.49</v>
      </c>
      <c r="Q33" s="3"/>
      <c r="R33" s="7">
        <f t="shared" si="4"/>
        <v>0</v>
      </c>
      <c r="S33" s="3"/>
      <c r="T33" s="8">
        <v>73079.360000000001</v>
      </c>
      <c r="U33" s="3"/>
      <c r="V33" s="7">
        <f t="shared" si="5"/>
        <v>0</v>
      </c>
      <c r="W33" s="3"/>
      <c r="X33" s="8">
        <f t="shared" si="6"/>
        <v>14473.130000000005</v>
      </c>
      <c r="Y33" s="3"/>
      <c r="Z33" s="7">
        <f t="shared" si="7"/>
        <v>0.19804675355668144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9379.74</v>
      </c>
      <c r="E34" s="3"/>
      <c r="F34" s="7">
        <f t="shared" si="0"/>
        <v>0</v>
      </c>
      <c r="G34" s="3"/>
      <c r="H34" s="8">
        <v>5911.76</v>
      </c>
      <c r="I34" s="3"/>
      <c r="J34" s="7">
        <f t="shared" si="1"/>
        <v>0</v>
      </c>
      <c r="K34" s="3"/>
      <c r="L34" s="8">
        <f t="shared" si="2"/>
        <v>3467.9799999999996</v>
      </c>
      <c r="M34" s="3"/>
      <c r="N34" s="7">
        <f t="shared" si="3"/>
        <v>0.58662394955140251</v>
      </c>
      <c r="O34" s="12"/>
      <c r="P34" s="8">
        <v>60141.96</v>
      </c>
      <c r="Q34" s="3"/>
      <c r="R34" s="7">
        <f t="shared" si="4"/>
        <v>0</v>
      </c>
      <c r="S34" s="3"/>
      <c r="T34" s="8">
        <v>22376.09</v>
      </c>
      <c r="U34" s="3"/>
      <c r="V34" s="7">
        <f t="shared" si="5"/>
        <v>0</v>
      </c>
      <c r="W34" s="3"/>
      <c r="X34" s="8">
        <f t="shared" si="6"/>
        <v>37765.869999999995</v>
      </c>
      <c r="Y34" s="3"/>
      <c r="Z34" s="7">
        <f t="shared" si="7"/>
        <v>1.6877778914904256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3073.66</v>
      </c>
      <c r="E35" s="3"/>
      <c r="F35" s="7">
        <f t="shared" si="0"/>
        <v>0</v>
      </c>
      <c r="G35" s="3"/>
      <c r="H35" s="8">
        <v>6009.35</v>
      </c>
      <c r="I35" s="3"/>
      <c r="J35" s="7">
        <f t="shared" si="1"/>
        <v>0</v>
      </c>
      <c r="K35" s="3"/>
      <c r="L35" s="8">
        <f t="shared" si="2"/>
        <v>-2935.6900000000005</v>
      </c>
      <c r="M35" s="3"/>
      <c r="N35" s="7">
        <f t="shared" si="3"/>
        <v>-0.48852038906038098</v>
      </c>
      <c r="O35" s="12"/>
      <c r="P35" s="8">
        <v>23187.13</v>
      </c>
      <c r="Q35" s="3"/>
      <c r="R35" s="7">
        <f t="shared" si="4"/>
        <v>0</v>
      </c>
      <c r="S35" s="3"/>
      <c r="T35" s="8">
        <v>60327.19</v>
      </c>
      <c r="U35" s="3"/>
      <c r="V35" s="7">
        <f t="shared" si="5"/>
        <v>0</v>
      </c>
      <c r="W35" s="3"/>
      <c r="X35" s="8">
        <f t="shared" si="6"/>
        <v>-37140.06</v>
      </c>
      <c r="Y35" s="3"/>
      <c r="Z35" s="7">
        <f t="shared" si="7"/>
        <v>-0.61564379179603756</v>
      </c>
    </row>
    <row r="36" spans="1:26" s="69" customFormat="1" ht="15" hidden="1" customHeight="1" outlineLevel="2" x14ac:dyDescent="0.3">
      <c r="A36" s="26"/>
      <c r="B36" s="12" t="str">
        <f>CONCATENATE("          ","6006"," - ","TEMPORARY PART TIME")</f>
        <v xml:space="preserve">          6006 - TEMPORARY PART TIME</v>
      </c>
      <c r="C36" s="12"/>
      <c r="D36" s="8">
        <v>2310.4</v>
      </c>
      <c r="E36" s="3"/>
      <c r="F36" s="7">
        <f t="shared" si="0"/>
        <v>0</v>
      </c>
      <c r="G36" s="3"/>
      <c r="H36" s="8">
        <v>748.02</v>
      </c>
      <c r="I36" s="3"/>
      <c r="J36" s="7">
        <f t="shared" si="1"/>
        <v>0</v>
      </c>
      <c r="K36" s="3"/>
      <c r="L36" s="8">
        <f t="shared" si="2"/>
        <v>1562.38</v>
      </c>
      <c r="M36" s="3"/>
      <c r="N36" s="7">
        <f t="shared" si="3"/>
        <v>2.0886874682495122</v>
      </c>
      <c r="O36" s="12"/>
      <c r="P36" s="8">
        <v>14280.37</v>
      </c>
      <c r="Q36" s="3"/>
      <c r="R36" s="7">
        <f t="shared" si="4"/>
        <v>0</v>
      </c>
      <c r="S36" s="3"/>
      <c r="T36" s="8">
        <v>10233.69</v>
      </c>
      <c r="U36" s="3"/>
      <c r="V36" s="7">
        <f t="shared" si="5"/>
        <v>0</v>
      </c>
      <c r="W36" s="3"/>
      <c r="X36" s="8">
        <f t="shared" si="6"/>
        <v>4046.6800000000003</v>
      </c>
      <c r="Y36" s="3"/>
      <c r="Z36" s="7">
        <f t="shared" si="7"/>
        <v>0.39542726035281506</v>
      </c>
    </row>
    <row r="37" spans="1:26" s="69" customFormat="1" ht="15" hidden="1" customHeight="1" outlineLevel="2" x14ac:dyDescent="0.3">
      <c r="A37" s="26"/>
      <c r="B37" s="12" t="str">
        <f>CONCATENATE("          ","6007"," - ","STUDENT HOURLY")</f>
        <v xml:space="preserve">          6007 - STUDENT HOURLY</v>
      </c>
      <c r="C37" s="12"/>
      <c r="D37" s="8">
        <v>18918.03</v>
      </c>
      <c r="E37" s="3"/>
      <c r="F37" s="7">
        <f t="shared" si="0"/>
        <v>0</v>
      </c>
      <c r="G37" s="3"/>
      <c r="H37" s="8">
        <v>8726.81</v>
      </c>
      <c r="I37" s="3"/>
      <c r="J37" s="7">
        <f t="shared" si="1"/>
        <v>0</v>
      </c>
      <c r="K37" s="3"/>
      <c r="L37" s="8">
        <f t="shared" si="2"/>
        <v>10191.219999999999</v>
      </c>
      <c r="M37" s="3"/>
      <c r="N37" s="7">
        <f t="shared" si="3"/>
        <v>1.1678058763740702</v>
      </c>
      <c r="O37" s="12"/>
      <c r="P37" s="8">
        <v>193134.85</v>
      </c>
      <c r="Q37" s="3"/>
      <c r="R37" s="7">
        <f t="shared" si="4"/>
        <v>0</v>
      </c>
      <c r="S37" s="3"/>
      <c r="T37" s="8">
        <v>142779.32</v>
      </c>
      <c r="U37" s="3"/>
      <c r="V37" s="7">
        <f t="shared" si="5"/>
        <v>0</v>
      </c>
      <c r="W37" s="3"/>
      <c r="X37" s="8">
        <f t="shared" si="6"/>
        <v>50355.53</v>
      </c>
      <c r="Y37" s="3"/>
      <c r="Z37" s="7">
        <f t="shared" si="7"/>
        <v>0.35268083641244402</v>
      </c>
    </row>
    <row r="38" spans="1:26" s="69" customFormat="1" ht="15" hidden="1" customHeight="1" outlineLevel="2" x14ac:dyDescent="0.3">
      <c r="A38" s="26"/>
      <c r="B38" s="12" t="str">
        <f>CONCATENATE("          ","6008"," - ","STUDENT HOURLY-FICA EXEMPT")</f>
        <v xml:space="preserve">          6008 - STUDENT HOURLY-FICA EXEMPT</v>
      </c>
      <c r="C38" s="12"/>
      <c r="D38" s="8">
        <v>1540.45</v>
      </c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1540.45</v>
      </c>
      <c r="M38" s="3"/>
      <c r="N38" s="7">
        <f t="shared" si="3"/>
        <v>0</v>
      </c>
      <c r="O38" s="12"/>
      <c r="P38" s="8">
        <v>13174.98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13174.98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","Advertising/Promo                                 ")</f>
        <v xml:space="preserve">     Advertising/Promo                                 </v>
      </c>
      <c r="C39" s="14"/>
      <c r="D39" s="2">
        <f>SUM(OSRRefD22_2x_0)</f>
        <v>0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SUM(OSRRefP22_2x_0)</f>
        <v>-366.38</v>
      </c>
      <c r="Q39" s="2"/>
      <c r="R39" s="6">
        <f t="shared" si="4"/>
        <v>0</v>
      </c>
      <c r="S39" s="2"/>
      <c r="T39" s="2">
        <f>SUM(OSRRefT22_2x_0)</f>
        <v>225</v>
      </c>
      <c r="U39" s="2"/>
      <c r="V39" s="6">
        <f t="shared" si="5"/>
        <v>0</v>
      </c>
      <c r="W39" s="2"/>
      <c r="X39" s="2">
        <f t="shared" si="6"/>
        <v>-591.38</v>
      </c>
      <c r="Y39" s="2"/>
      <c r="Z39" s="6">
        <f t="shared" si="7"/>
        <v>-2.6283555555555553</v>
      </c>
    </row>
    <row r="40" spans="1:26" s="69" customFormat="1" ht="15" hidden="1" customHeight="1" outlineLevel="2" x14ac:dyDescent="0.3">
      <c r="A40" s="26"/>
      <c r="B40" s="12" t="str">
        <f>CONCATENATE("          ","6362"," - ","ADVERTISING EXPENSE")</f>
        <v xml:space="preserve">          6362 - ADVERTISING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-366.38</v>
      </c>
      <c r="Q40" s="3"/>
      <c r="R40" s="7">
        <f t="shared" si="4"/>
        <v>0</v>
      </c>
      <c r="S40" s="3"/>
      <c r="T40" s="8">
        <v>225</v>
      </c>
      <c r="U40" s="3"/>
      <c r="V40" s="7">
        <f t="shared" si="5"/>
        <v>0</v>
      </c>
      <c r="W40" s="3"/>
      <c r="X40" s="8">
        <f t="shared" si="6"/>
        <v>-591.38</v>
      </c>
      <c r="Y40" s="3"/>
      <c r="Z40" s="7">
        <f t="shared" si="7"/>
        <v>-2.6283555555555553</v>
      </c>
    </row>
    <row r="41" spans="1:26" s="68" customFormat="1" ht="15" customHeight="1" outlineLevel="1" collapsed="1" x14ac:dyDescent="0.3">
      <c r="A41" s="25"/>
      <c r="B41" s="14" t="str">
        <f>CONCATENATE("     ","Bad Debts/Over/Short                              ")</f>
        <v xml:space="preserve">     Bad Debts/Over/Short                              </v>
      </c>
      <c r="C41" s="14"/>
      <c r="D41" s="2">
        <f>SUM(OSRRefD22_3x_0)</f>
        <v>-30.71</v>
      </c>
      <c r="E41" s="2"/>
      <c r="F41" s="6">
        <f t="shared" si="0"/>
        <v>0</v>
      </c>
      <c r="G41" s="2"/>
      <c r="H41" s="2">
        <f>SUM(OSRRefH22_3x_0)</f>
        <v>3283.5499999999997</v>
      </c>
      <c r="I41" s="2"/>
      <c r="J41" s="6">
        <f t="shared" si="1"/>
        <v>0</v>
      </c>
      <c r="K41" s="2"/>
      <c r="L41" s="2">
        <f t="shared" si="2"/>
        <v>-3314.2599999999998</v>
      </c>
      <c r="M41" s="2"/>
      <c r="N41" s="6">
        <f t="shared" si="3"/>
        <v>-1.0093526823103045</v>
      </c>
      <c r="O41" s="14"/>
      <c r="P41" s="2">
        <f>SUM(OSRRefP22_3x_0)</f>
        <v>141.75</v>
      </c>
      <c r="Q41" s="2"/>
      <c r="R41" s="6">
        <f t="shared" si="4"/>
        <v>0</v>
      </c>
      <c r="S41" s="2"/>
      <c r="T41" s="2">
        <f>SUM(OSRRefT22_3x_0)</f>
        <v>5202.3100000000004</v>
      </c>
      <c r="U41" s="2"/>
      <c r="V41" s="6">
        <f t="shared" si="5"/>
        <v>0</v>
      </c>
      <c r="W41" s="2"/>
      <c r="X41" s="2">
        <f t="shared" si="6"/>
        <v>-5060.5600000000004</v>
      </c>
      <c r="Y41" s="2"/>
      <c r="Z41" s="6">
        <f t="shared" si="7"/>
        <v>-0.97275248879824538</v>
      </c>
    </row>
    <row r="42" spans="1:26" s="69" customFormat="1" ht="15" hidden="1" customHeight="1" outlineLevel="2" x14ac:dyDescent="0.3">
      <c r="A42" s="26"/>
      <c r="B42" s="12" t="str">
        <f>CONCATENATE("          ","6272"," - ","CASH (OVER/SHORT)")</f>
        <v xml:space="preserve">          6272 - CASH (OVER/SHORT)</v>
      </c>
      <c r="C42" s="12"/>
      <c r="D42" s="8">
        <v>-30.71</v>
      </c>
      <c r="E42" s="3"/>
      <c r="F42" s="7">
        <f t="shared" si="0"/>
        <v>0</v>
      </c>
      <c r="G42" s="3"/>
      <c r="H42" s="8">
        <v>-69.09</v>
      </c>
      <c r="I42" s="3"/>
      <c r="J42" s="7">
        <f t="shared" si="1"/>
        <v>0</v>
      </c>
      <c r="K42" s="3"/>
      <c r="L42" s="8">
        <f t="shared" si="2"/>
        <v>38.380000000000003</v>
      </c>
      <c r="M42" s="3"/>
      <c r="N42" s="7">
        <f t="shared" si="3"/>
        <v>-0.55550730930670145</v>
      </c>
      <c r="O42" s="12"/>
      <c r="P42" s="8">
        <v>141.75</v>
      </c>
      <c r="Q42" s="3"/>
      <c r="R42" s="7">
        <f t="shared" si="4"/>
        <v>0</v>
      </c>
      <c r="S42" s="3"/>
      <c r="T42" s="8">
        <v>-147.11000000000001</v>
      </c>
      <c r="U42" s="3"/>
      <c r="V42" s="7">
        <f t="shared" si="5"/>
        <v>0</v>
      </c>
      <c r="W42" s="3"/>
      <c r="X42" s="8">
        <f t="shared" si="6"/>
        <v>288.86</v>
      </c>
      <c r="Y42" s="3"/>
      <c r="Z42" s="7">
        <f t="shared" si="7"/>
        <v>-1.9635646794915369</v>
      </c>
    </row>
    <row r="43" spans="1:26" s="69" customFormat="1" ht="15" hidden="1" customHeight="1" outlineLevel="2" x14ac:dyDescent="0.3">
      <c r="A43" s="26"/>
      <c r="B43" s="12" t="str">
        <f>CONCATENATE("          ","6342"," - ","BAD DEBT")</f>
        <v xml:space="preserve">          6342 - BAD DEBT</v>
      </c>
      <c r="C43" s="12"/>
      <c r="D43" s="8"/>
      <c r="E43" s="3"/>
      <c r="F43" s="7">
        <f t="shared" si="0"/>
        <v>0</v>
      </c>
      <c r="G43" s="3"/>
      <c r="H43" s="8">
        <v>3352.64</v>
      </c>
      <c r="I43" s="3"/>
      <c r="J43" s="7">
        <f t="shared" si="1"/>
        <v>0</v>
      </c>
      <c r="K43" s="3"/>
      <c r="L43" s="8">
        <f t="shared" si="2"/>
        <v>-3352.64</v>
      </c>
      <c r="M43" s="3"/>
      <c r="N43" s="7">
        <f t="shared" si="3"/>
        <v>-1</v>
      </c>
      <c r="O43" s="12"/>
      <c r="P43" s="8"/>
      <c r="Q43" s="3"/>
      <c r="R43" s="7">
        <f t="shared" si="4"/>
        <v>0</v>
      </c>
      <c r="S43" s="3"/>
      <c r="T43" s="8">
        <v>5349.42</v>
      </c>
      <c r="U43" s="3"/>
      <c r="V43" s="7">
        <f t="shared" si="5"/>
        <v>0</v>
      </c>
      <c r="W43" s="3"/>
      <c r="X43" s="8">
        <f t="shared" si="6"/>
        <v>-5349.42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15209.56</v>
      </c>
      <c r="E44" s="2"/>
      <c r="F44" s="6">
        <f t="shared" si="0"/>
        <v>0</v>
      </c>
      <c r="G44" s="2"/>
      <c r="H44" s="2">
        <f>SUM(OSRRefH22_4x_0)</f>
        <v>3447.7</v>
      </c>
      <c r="I44" s="2"/>
      <c r="J44" s="6">
        <f t="shared" si="1"/>
        <v>0</v>
      </c>
      <c r="K44" s="2"/>
      <c r="L44" s="2">
        <f t="shared" si="2"/>
        <v>11761.86</v>
      </c>
      <c r="M44" s="2"/>
      <c r="N44" s="6">
        <f t="shared" si="3"/>
        <v>3.4115091220233782</v>
      </c>
      <c r="O44" s="14"/>
      <c r="P44" s="2">
        <f>SUM(OSRRefP22_4x_0)</f>
        <v>91018.61</v>
      </c>
      <c r="Q44" s="2"/>
      <c r="R44" s="6">
        <f t="shared" si="4"/>
        <v>0</v>
      </c>
      <c r="S44" s="2"/>
      <c r="T44" s="2">
        <f>SUM(OSRRefT22_4x_0)</f>
        <v>62633.35</v>
      </c>
      <c r="U44" s="2"/>
      <c r="V44" s="6">
        <f t="shared" si="5"/>
        <v>0</v>
      </c>
      <c r="W44" s="2"/>
      <c r="X44" s="2">
        <f t="shared" si="6"/>
        <v>28385.260000000002</v>
      </c>
      <c r="Y44" s="2"/>
      <c r="Z44" s="6">
        <f t="shared" si="7"/>
        <v>0.45319721841479027</v>
      </c>
    </row>
    <row r="45" spans="1:26" s="69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15209.56</v>
      </c>
      <c r="E45" s="3"/>
      <c r="F45" s="7">
        <f t="shared" si="0"/>
        <v>0</v>
      </c>
      <c r="G45" s="3"/>
      <c r="H45" s="8">
        <v>3447.7</v>
      </c>
      <c r="I45" s="3"/>
      <c r="J45" s="7">
        <f t="shared" si="1"/>
        <v>0</v>
      </c>
      <c r="K45" s="3"/>
      <c r="L45" s="8">
        <f t="shared" si="2"/>
        <v>11761.86</v>
      </c>
      <c r="M45" s="3"/>
      <c r="N45" s="7">
        <f t="shared" si="3"/>
        <v>3.4115091220233782</v>
      </c>
      <c r="O45" s="12"/>
      <c r="P45" s="8">
        <v>91018.61</v>
      </c>
      <c r="Q45" s="3"/>
      <c r="R45" s="7">
        <f t="shared" si="4"/>
        <v>0</v>
      </c>
      <c r="S45" s="3"/>
      <c r="T45" s="8">
        <v>62633.35</v>
      </c>
      <c r="U45" s="3"/>
      <c r="V45" s="7">
        <f t="shared" si="5"/>
        <v>0</v>
      </c>
      <c r="W45" s="3"/>
      <c r="X45" s="8">
        <f t="shared" si="6"/>
        <v>28385.260000000002</v>
      </c>
      <c r="Y45" s="3"/>
      <c r="Z45" s="7">
        <f t="shared" si="7"/>
        <v>0.45319721841479027</v>
      </c>
    </row>
    <row r="46" spans="1:26" s="68" customFormat="1" ht="15" customHeight="1" outlineLevel="1" collapsed="1" x14ac:dyDescent="0.3">
      <c r="A46" s="25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27370.16</v>
      </c>
      <c r="E46" s="2"/>
      <c r="F46" s="6">
        <f t="shared" si="0"/>
        <v>0</v>
      </c>
      <c r="G46" s="2"/>
      <c r="H46" s="2">
        <f>SUM(OSRRefH22_5x_0)</f>
        <v>30565.97</v>
      </c>
      <c r="I46" s="2"/>
      <c r="J46" s="6">
        <f t="shared" si="1"/>
        <v>0</v>
      </c>
      <c r="K46" s="2"/>
      <c r="L46" s="2">
        <f t="shared" si="2"/>
        <v>-3195.8100000000013</v>
      </c>
      <c r="M46" s="2"/>
      <c r="N46" s="6">
        <f t="shared" si="3"/>
        <v>-0.104554509475734</v>
      </c>
      <c r="O46" s="14"/>
      <c r="P46" s="2">
        <f>SUM(OSRRefP22_5x_0)</f>
        <v>238537.52000000002</v>
      </c>
      <c r="Q46" s="2"/>
      <c r="R46" s="6">
        <f t="shared" si="4"/>
        <v>0</v>
      </c>
      <c r="S46" s="2"/>
      <c r="T46" s="2">
        <f>SUM(OSRRefT22_5x_0)</f>
        <v>244823.25</v>
      </c>
      <c r="U46" s="2"/>
      <c r="V46" s="6">
        <f t="shared" si="5"/>
        <v>0</v>
      </c>
      <c r="W46" s="2"/>
      <c r="X46" s="2">
        <f t="shared" si="6"/>
        <v>-6285.7299999999814</v>
      </c>
      <c r="Y46" s="2"/>
      <c r="Z46" s="6">
        <f t="shared" si="7"/>
        <v>-2.5674563179763285E-2</v>
      </c>
    </row>
    <row r="47" spans="1:26" s="69" customFormat="1" ht="15" hidden="1" customHeight="1" outlineLevel="2" x14ac:dyDescent="0.3">
      <c r="A47" s="26"/>
      <c r="B47" s="12" t="str">
        <f>CONCATENATE("          ","6321"," - ","BUILDING DEPRECIATION")</f>
        <v xml:space="preserve">          6321 - BUILDING DEPRECIATION</v>
      </c>
      <c r="C47" s="12"/>
      <c r="D47" s="8">
        <v>13321.71</v>
      </c>
      <c r="E47" s="3"/>
      <c r="F47" s="7">
        <f t="shared" si="0"/>
        <v>0</v>
      </c>
      <c r="G47" s="3"/>
      <c r="H47" s="8">
        <v>16396.52</v>
      </c>
      <c r="I47" s="3"/>
      <c r="J47" s="7">
        <f t="shared" si="1"/>
        <v>0</v>
      </c>
      <c r="K47" s="3"/>
      <c r="L47" s="8">
        <f t="shared" si="2"/>
        <v>-3074.8100000000013</v>
      </c>
      <c r="M47" s="3"/>
      <c r="N47" s="7">
        <f t="shared" si="3"/>
        <v>-0.18752820720494356</v>
      </c>
      <c r="O47" s="12"/>
      <c r="P47" s="8">
        <v>125832.42</v>
      </c>
      <c r="Q47" s="3"/>
      <c r="R47" s="7">
        <f t="shared" si="4"/>
        <v>0</v>
      </c>
      <c r="S47" s="3"/>
      <c r="T47" s="8">
        <v>131172.16</v>
      </c>
      <c r="U47" s="3"/>
      <c r="V47" s="7">
        <f t="shared" si="5"/>
        <v>0</v>
      </c>
      <c r="W47" s="3"/>
      <c r="X47" s="8">
        <f t="shared" si="6"/>
        <v>-5339.7400000000052</v>
      </c>
      <c r="Y47" s="3"/>
      <c r="Z47" s="7">
        <f t="shared" si="7"/>
        <v>-4.0707875817551566E-2</v>
      </c>
    </row>
    <row r="48" spans="1:26" s="69" customFormat="1" ht="15" hidden="1" customHeight="1" outlineLevel="2" x14ac:dyDescent="0.3">
      <c r="A48" s="26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14048.45</v>
      </c>
      <c r="E48" s="3"/>
      <c r="F48" s="7">
        <f t="shared" si="0"/>
        <v>0</v>
      </c>
      <c r="G48" s="3"/>
      <c r="H48" s="8">
        <v>14169.45</v>
      </c>
      <c r="I48" s="3"/>
      <c r="J48" s="7">
        <f t="shared" si="1"/>
        <v>0</v>
      </c>
      <c r="K48" s="3"/>
      <c r="L48" s="8">
        <f t="shared" si="2"/>
        <v>-121</v>
      </c>
      <c r="M48" s="3"/>
      <c r="N48" s="7">
        <f t="shared" si="3"/>
        <v>-8.5394987102533973E-3</v>
      </c>
      <c r="O48" s="12"/>
      <c r="P48" s="8">
        <v>112705.1</v>
      </c>
      <c r="Q48" s="3"/>
      <c r="R48" s="7">
        <f t="shared" si="4"/>
        <v>0</v>
      </c>
      <c r="S48" s="3"/>
      <c r="T48" s="8">
        <v>113651.09</v>
      </c>
      <c r="U48" s="3"/>
      <c r="V48" s="7">
        <f t="shared" si="5"/>
        <v>0</v>
      </c>
      <c r="W48" s="3"/>
      <c r="X48" s="8">
        <f t="shared" si="6"/>
        <v>-945.98999999999069</v>
      </c>
      <c r="Y48" s="3"/>
      <c r="Z48" s="7">
        <f t="shared" si="7"/>
        <v>-8.3236333237102327E-3</v>
      </c>
    </row>
    <row r="49" spans="1:26" s="68" customFormat="1" ht="15" customHeight="1" outlineLevel="1" collapsed="1" x14ac:dyDescent="0.3">
      <c r="A49" s="25"/>
      <c r="B49" s="14" t="str">
        <f>CONCATENATE("     ","Discounts and Markdowns                           ")</f>
        <v xml:space="preserve">     Discounts and Markdowns                           </v>
      </c>
      <c r="C49" s="14"/>
      <c r="D49" s="2">
        <f>SUM(OSRRefD22_6x_0)</f>
        <v>-0.98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-0.98</v>
      </c>
      <c r="M49" s="2"/>
      <c r="N49" s="6">
        <f t="shared" si="3"/>
        <v>0</v>
      </c>
      <c r="O49" s="14"/>
      <c r="P49" s="2">
        <f>SUM(OSRRefP22_6x_0)</f>
        <v>2063.1999999999998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2063.1999999999998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","6382"," - ","DISCOUNTS/MARK DOWNS")</f>
        <v xml:space="preserve">          6382 - DISCOUNTS/MARK DOWNS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2170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2170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","9175"," - ","EARNED DISCOUNTS")</f>
        <v xml:space="preserve">          9175 - EARNED DISCOUNTS</v>
      </c>
      <c r="C51" s="12"/>
      <c r="D51" s="8">
        <v>-0.98</v>
      </c>
      <c r="E51" s="3"/>
      <c r="F51" s="7">
        <f t="shared" ref="F51:F82" si="8">IF(D$12=0,0,D51/D$12)</f>
        <v>0</v>
      </c>
      <c r="G51" s="3"/>
      <c r="H51" s="8"/>
      <c r="I51" s="3"/>
      <c r="J51" s="7">
        <f t="shared" ref="J51:J82" si="9">IF(H$12=0,0,H51/H$12)</f>
        <v>0</v>
      </c>
      <c r="K51" s="3"/>
      <c r="L51" s="8">
        <f t="shared" ref="L51:L82" si="10">+D51-H51</f>
        <v>-0.98</v>
      </c>
      <c r="M51" s="3"/>
      <c r="N51" s="7">
        <f t="shared" ref="N51:N82" si="11">IF(H51=0,0,L51/H51)</f>
        <v>0</v>
      </c>
      <c r="O51" s="12"/>
      <c r="P51" s="8">
        <v>-106.8</v>
      </c>
      <c r="Q51" s="3"/>
      <c r="R51" s="7">
        <f t="shared" ref="R51:R82" si="12">IF(P$12=0,0,P51/P$12)</f>
        <v>0</v>
      </c>
      <c r="S51" s="3"/>
      <c r="T51" s="8"/>
      <c r="U51" s="3"/>
      <c r="V51" s="7">
        <f t="shared" ref="V51:V82" si="13">IF(T$12=0,0,T51/T$12)</f>
        <v>0</v>
      </c>
      <c r="W51" s="3"/>
      <c r="X51" s="8">
        <f t="shared" ref="X51:X82" si="14">+P51-T51</f>
        <v>-106.8</v>
      </c>
      <c r="Y51" s="3"/>
      <c r="Z51" s="7">
        <f t="shared" ref="Z51:Z82" si="15">IF(T51=0,0,X51/T51)</f>
        <v>0</v>
      </c>
    </row>
    <row r="52" spans="1:26" s="68" customFormat="1" ht="15" customHeight="1" outlineLevel="1" collapsed="1" x14ac:dyDescent="0.3">
      <c r="A52" s="25"/>
      <c r="B52" s="14" t="str">
        <f>CONCATENATE("     ","Donations                                         ")</f>
        <v xml:space="preserve">     Donations                                         </v>
      </c>
      <c r="C52" s="14"/>
      <c r="D52" s="2">
        <f>SUM(OSRRefD22_7x_0)</f>
        <v>2998.05</v>
      </c>
      <c r="E52" s="2"/>
      <c r="F52" s="6">
        <f t="shared" si="8"/>
        <v>0</v>
      </c>
      <c r="G52" s="2"/>
      <c r="H52" s="2">
        <f>SUM(OSRRefH22_7x_0)</f>
        <v>0</v>
      </c>
      <c r="I52" s="2"/>
      <c r="J52" s="6">
        <f t="shared" si="9"/>
        <v>0</v>
      </c>
      <c r="K52" s="2"/>
      <c r="L52" s="2">
        <f t="shared" si="10"/>
        <v>2998.05</v>
      </c>
      <c r="M52" s="2"/>
      <c r="N52" s="6">
        <f t="shared" si="11"/>
        <v>0</v>
      </c>
      <c r="O52" s="14"/>
      <c r="P52" s="2">
        <f>SUM(OSRRefP22_7x_0)</f>
        <v>5818.27</v>
      </c>
      <c r="Q52" s="2"/>
      <c r="R52" s="6">
        <f t="shared" si="12"/>
        <v>0</v>
      </c>
      <c r="S52" s="2"/>
      <c r="T52" s="2">
        <f>SUM(OSRRefT22_7x_0)</f>
        <v>0</v>
      </c>
      <c r="U52" s="2"/>
      <c r="V52" s="6">
        <f t="shared" si="13"/>
        <v>0</v>
      </c>
      <c r="W52" s="2"/>
      <c r="X52" s="2">
        <f t="shared" si="14"/>
        <v>5818.27</v>
      </c>
      <c r="Y52" s="2"/>
      <c r="Z52" s="6">
        <f t="shared" si="15"/>
        <v>0</v>
      </c>
    </row>
    <row r="53" spans="1:26" s="69" customFormat="1" ht="15" hidden="1" customHeight="1" outlineLevel="2" x14ac:dyDescent="0.3">
      <c r="A53" s="26"/>
      <c r="B53" s="12" t="str">
        <f>CONCATENATE("          ","6399"," - ","DONATION-ON CAMPUS")</f>
        <v xml:space="preserve">          6399 - DONATION-ON CAMPUS</v>
      </c>
      <c r="C53" s="12"/>
      <c r="D53" s="8">
        <v>2998.05</v>
      </c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2998.05</v>
      </c>
      <c r="M53" s="3"/>
      <c r="N53" s="7">
        <f t="shared" si="11"/>
        <v>0</v>
      </c>
      <c r="O53" s="12"/>
      <c r="P53" s="8">
        <v>5818.27</v>
      </c>
      <c r="Q53" s="3"/>
      <c r="R53" s="7">
        <f t="shared" si="12"/>
        <v>0</v>
      </c>
      <c r="S53" s="3"/>
      <c r="T53" s="8"/>
      <c r="U53" s="3"/>
      <c r="V53" s="7">
        <f t="shared" si="13"/>
        <v>0</v>
      </c>
      <c r="W53" s="3"/>
      <c r="X53" s="8">
        <f t="shared" si="14"/>
        <v>5818.27</v>
      </c>
      <c r="Y53" s="3"/>
      <c r="Z53" s="7">
        <f t="shared" si="15"/>
        <v>0</v>
      </c>
    </row>
    <row r="54" spans="1:26" s="68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SUM(OSRRefD22_8x_0)</f>
        <v>0</v>
      </c>
      <c r="E54" s="2"/>
      <c r="F54" s="6">
        <f t="shared" si="8"/>
        <v>0</v>
      </c>
      <c r="G54" s="2"/>
      <c r="H54" s="2">
        <f>SUM(OSRRefH22_8x_0)</f>
        <v>0</v>
      </c>
      <c r="I54" s="2"/>
      <c r="J54" s="6">
        <f t="shared" si="9"/>
        <v>0</v>
      </c>
      <c r="K54" s="2"/>
      <c r="L54" s="2">
        <f t="shared" si="10"/>
        <v>0</v>
      </c>
      <c r="M54" s="2"/>
      <c r="N54" s="6">
        <f t="shared" si="11"/>
        <v>0</v>
      </c>
      <c r="O54" s="14"/>
      <c r="P54" s="2">
        <f>SUM(OSRRefP22_8x_0)</f>
        <v>4028.75</v>
      </c>
      <c r="Q54" s="2"/>
      <c r="R54" s="6">
        <f t="shared" si="12"/>
        <v>0</v>
      </c>
      <c r="S54" s="2"/>
      <c r="T54" s="2">
        <f>SUM(OSRRefT22_8x_0)</f>
        <v>78.33</v>
      </c>
      <c r="U54" s="2"/>
      <c r="V54" s="6">
        <f t="shared" si="13"/>
        <v>0</v>
      </c>
      <c r="W54" s="2"/>
      <c r="X54" s="2">
        <f t="shared" si="14"/>
        <v>3950.42</v>
      </c>
      <c r="Y54" s="2"/>
      <c r="Z54" s="6">
        <f t="shared" si="15"/>
        <v>50.433039703817187</v>
      </c>
    </row>
    <row r="55" spans="1:26" s="69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4028.75</v>
      </c>
      <c r="Q55" s="3"/>
      <c r="R55" s="7">
        <f t="shared" si="12"/>
        <v>0</v>
      </c>
      <c r="S55" s="3"/>
      <c r="T55" s="8">
        <v>78.33</v>
      </c>
      <c r="U55" s="3"/>
      <c r="V55" s="7">
        <f t="shared" si="13"/>
        <v>0</v>
      </c>
      <c r="W55" s="3"/>
      <c r="X55" s="8">
        <f t="shared" si="14"/>
        <v>3950.42</v>
      </c>
      <c r="Y55" s="3"/>
      <c r="Z55" s="7">
        <f t="shared" si="15"/>
        <v>50.433039703817187</v>
      </c>
    </row>
    <row r="56" spans="1:26" s="68" customFormat="1" ht="15" customHeight="1" outlineLevel="1" collapsed="1" x14ac:dyDescent="0.3">
      <c r="A56" s="25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SUM(OSRRefD22_9x_0)</f>
        <v>91.26</v>
      </c>
      <c r="E56" s="2"/>
      <c r="F56" s="6">
        <f t="shared" si="8"/>
        <v>0</v>
      </c>
      <c r="G56" s="2"/>
      <c r="H56" s="2">
        <f>SUM(OSRRefH22_9x_0)</f>
        <v>487.31</v>
      </c>
      <c r="I56" s="2"/>
      <c r="J56" s="6">
        <f t="shared" si="9"/>
        <v>0</v>
      </c>
      <c r="K56" s="2"/>
      <c r="L56" s="2">
        <f t="shared" si="10"/>
        <v>-396.05</v>
      </c>
      <c r="M56" s="2"/>
      <c r="N56" s="6">
        <f t="shared" si="11"/>
        <v>-0.8127270115532208</v>
      </c>
      <c r="O56" s="14"/>
      <c r="P56" s="2">
        <f>SUM(OSRRefP22_9x_0)</f>
        <v>2112.73</v>
      </c>
      <c r="Q56" s="2"/>
      <c r="R56" s="6">
        <f t="shared" si="12"/>
        <v>0</v>
      </c>
      <c r="S56" s="2"/>
      <c r="T56" s="2">
        <f>SUM(OSRRefT22_9x_0)</f>
        <v>1773.91</v>
      </c>
      <c r="U56" s="2"/>
      <c r="V56" s="6">
        <f t="shared" si="13"/>
        <v>0</v>
      </c>
      <c r="W56" s="2"/>
      <c r="X56" s="2">
        <f t="shared" si="14"/>
        <v>338.81999999999994</v>
      </c>
      <c r="Y56" s="2"/>
      <c r="Z56" s="6">
        <f t="shared" si="15"/>
        <v>0.19100179828739897</v>
      </c>
    </row>
    <row r="57" spans="1:26" s="69" customFormat="1" ht="15" hidden="1" customHeight="1" outlineLevel="2" x14ac:dyDescent="0.3">
      <c r="A57" s="26"/>
      <c r="B57" s="12" t="str">
        <f>CONCATENATE("          ","6351"," - ","EQUIPMENT RENTAL")</f>
        <v xml:space="preserve">          6351 - EQUIPMENT RENTAL</v>
      </c>
      <c r="C57" s="12"/>
      <c r="D57" s="8">
        <v>91.26</v>
      </c>
      <c r="E57" s="3"/>
      <c r="F57" s="7">
        <f t="shared" si="8"/>
        <v>0</v>
      </c>
      <c r="G57" s="3"/>
      <c r="H57" s="8">
        <v>487.31</v>
      </c>
      <c r="I57" s="3"/>
      <c r="J57" s="7">
        <f t="shared" si="9"/>
        <v>0</v>
      </c>
      <c r="K57" s="3"/>
      <c r="L57" s="8">
        <f t="shared" si="10"/>
        <v>-396.05</v>
      </c>
      <c r="M57" s="3"/>
      <c r="N57" s="7">
        <f t="shared" si="11"/>
        <v>-0.8127270115532208</v>
      </c>
      <c r="O57" s="12"/>
      <c r="P57" s="8">
        <v>2112.73</v>
      </c>
      <c r="Q57" s="3"/>
      <c r="R57" s="7">
        <f t="shared" si="12"/>
        <v>0</v>
      </c>
      <c r="S57" s="3"/>
      <c r="T57" s="8">
        <v>1773.91</v>
      </c>
      <c r="U57" s="3"/>
      <c r="V57" s="7">
        <f t="shared" si="13"/>
        <v>0</v>
      </c>
      <c r="W57" s="3"/>
      <c r="X57" s="8">
        <f t="shared" si="14"/>
        <v>338.81999999999994</v>
      </c>
      <c r="Y57" s="3"/>
      <c r="Z57" s="7">
        <f t="shared" si="15"/>
        <v>0.19100179828739897</v>
      </c>
    </row>
    <row r="58" spans="1:26" s="68" customFormat="1" ht="15" customHeight="1" outlineLevel="1" collapsed="1" x14ac:dyDescent="0.3">
      <c r="A58" s="25"/>
      <c r="B58" s="14" t="str">
        <f>CONCATENATE("     ","Freight out/Postage                               ")</f>
        <v xml:space="preserve">     Freight out/Postage                               </v>
      </c>
      <c r="C58" s="14"/>
      <c r="D58" s="2">
        <f>SUM(OSRRefD22_10x_0)</f>
        <v>15.95</v>
      </c>
      <c r="E58" s="2"/>
      <c r="F58" s="6">
        <f t="shared" si="8"/>
        <v>0</v>
      </c>
      <c r="G58" s="2"/>
      <c r="H58" s="2">
        <f>SUM(OSRRefH22_10x_0)</f>
        <v>15.95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SUM(OSRRefP22_10x_0)</f>
        <v>11248.18</v>
      </c>
      <c r="Q58" s="2"/>
      <c r="R58" s="6">
        <f t="shared" si="12"/>
        <v>0</v>
      </c>
      <c r="S58" s="2"/>
      <c r="T58" s="2">
        <f>SUM(OSRRefT22_10x_0)</f>
        <v>2017.65</v>
      </c>
      <c r="U58" s="2"/>
      <c r="V58" s="6">
        <f t="shared" si="13"/>
        <v>0</v>
      </c>
      <c r="W58" s="2"/>
      <c r="X58" s="2">
        <f t="shared" si="14"/>
        <v>9230.5300000000007</v>
      </c>
      <c r="Y58" s="2"/>
      <c r="Z58" s="6">
        <f t="shared" si="15"/>
        <v>4.5748915817906974</v>
      </c>
    </row>
    <row r="59" spans="1:26" s="69" customFormat="1" ht="15" hidden="1" customHeight="1" outlineLevel="2" x14ac:dyDescent="0.3">
      <c r="A59" s="26"/>
      <c r="B59" s="12" t="str">
        <f>CONCATENATE("          ","6307"," - ","POSTAGE")</f>
        <v xml:space="preserve">          6307 - POSTAGE</v>
      </c>
      <c r="C59" s="12"/>
      <c r="D59" s="8">
        <v>15.95</v>
      </c>
      <c r="E59" s="3"/>
      <c r="F59" s="7">
        <f t="shared" si="8"/>
        <v>0</v>
      </c>
      <c r="G59" s="3"/>
      <c r="H59" s="8">
        <v>15.95</v>
      </c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11248.18</v>
      </c>
      <c r="Q59" s="3"/>
      <c r="R59" s="7">
        <f t="shared" si="12"/>
        <v>0</v>
      </c>
      <c r="S59" s="3"/>
      <c r="T59" s="8">
        <v>2017.65</v>
      </c>
      <c r="U59" s="3"/>
      <c r="V59" s="7">
        <f t="shared" si="13"/>
        <v>0</v>
      </c>
      <c r="W59" s="3"/>
      <c r="X59" s="8">
        <f t="shared" si="14"/>
        <v>9230.5300000000007</v>
      </c>
      <c r="Y59" s="3"/>
      <c r="Z59" s="7">
        <f t="shared" si="15"/>
        <v>4.5748915817906974</v>
      </c>
    </row>
    <row r="60" spans="1:26" s="68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SUM(OSRRefD22_11x_0)</f>
        <v>267.05</v>
      </c>
      <c r="E60" s="2"/>
      <c r="F60" s="6">
        <f t="shared" si="8"/>
        <v>0</v>
      </c>
      <c r="G60" s="2"/>
      <c r="H60" s="2">
        <f>SUM(OSRRefH22_11x_0)</f>
        <v>0</v>
      </c>
      <c r="I60" s="2"/>
      <c r="J60" s="6">
        <f t="shared" si="9"/>
        <v>0</v>
      </c>
      <c r="K60" s="2"/>
      <c r="L60" s="2">
        <f t="shared" si="10"/>
        <v>267.05</v>
      </c>
      <c r="M60" s="2"/>
      <c r="N60" s="6">
        <f t="shared" si="11"/>
        <v>0</v>
      </c>
      <c r="O60" s="14"/>
      <c r="P60" s="2">
        <f>SUM(OSRRefP22_11x_0)</f>
        <v>2823.8</v>
      </c>
      <c r="Q60" s="2"/>
      <c r="R60" s="6">
        <f t="shared" si="12"/>
        <v>0</v>
      </c>
      <c r="S60" s="2"/>
      <c r="T60" s="2">
        <f>SUM(OSRRefT22_11x_0)</f>
        <v>1386.81</v>
      </c>
      <c r="U60" s="2"/>
      <c r="V60" s="6">
        <f t="shared" si="13"/>
        <v>0</v>
      </c>
      <c r="W60" s="2"/>
      <c r="X60" s="2">
        <f t="shared" si="14"/>
        <v>1436.9900000000002</v>
      </c>
      <c r="Y60" s="2"/>
      <c r="Z60" s="6">
        <f t="shared" si="15"/>
        <v>1.0361837598517463</v>
      </c>
    </row>
    <row r="61" spans="1:26" s="69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8">
        <v>267.05</v>
      </c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267.05</v>
      </c>
      <c r="M61" s="3"/>
      <c r="N61" s="7">
        <f t="shared" si="11"/>
        <v>0</v>
      </c>
      <c r="O61" s="12"/>
      <c r="P61" s="8">
        <v>2823.8</v>
      </c>
      <c r="Q61" s="3"/>
      <c r="R61" s="7">
        <f t="shared" si="12"/>
        <v>0</v>
      </c>
      <c r="S61" s="3"/>
      <c r="T61" s="8">
        <v>1386.81</v>
      </c>
      <c r="U61" s="3"/>
      <c r="V61" s="7">
        <f t="shared" si="13"/>
        <v>0</v>
      </c>
      <c r="W61" s="3"/>
      <c r="X61" s="8">
        <f t="shared" si="14"/>
        <v>1436.9900000000002</v>
      </c>
      <c r="Y61" s="3"/>
      <c r="Z61" s="7">
        <f t="shared" si="15"/>
        <v>1.0361837598517463</v>
      </c>
    </row>
    <row r="62" spans="1:26" s="68" customFormat="1" ht="15" customHeight="1" outlineLevel="1" collapsed="1" x14ac:dyDescent="0.3">
      <c r="A62" s="25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SUM(OSRRefD22_12x_0)</f>
        <v>5275.49</v>
      </c>
      <c r="E62" s="2"/>
      <c r="F62" s="6">
        <f t="shared" si="8"/>
        <v>0</v>
      </c>
      <c r="G62" s="2"/>
      <c r="H62" s="2">
        <f>SUM(OSRRefH22_12x_0)</f>
        <v>3883.56</v>
      </c>
      <c r="I62" s="2"/>
      <c r="J62" s="6">
        <f t="shared" si="9"/>
        <v>0</v>
      </c>
      <c r="K62" s="2"/>
      <c r="L62" s="2">
        <f t="shared" si="10"/>
        <v>1391.9299999999998</v>
      </c>
      <c r="M62" s="2"/>
      <c r="N62" s="6">
        <f t="shared" si="11"/>
        <v>0.35841598945297609</v>
      </c>
      <c r="O62" s="14"/>
      <c r="P62" s="2">
        <f>SUM(OSRRefP22_12x_0)</f>
        <v>42203.92</v>
      </c>
      <c r="Q62" s="2"/>
      <c r="R62" s="6">
        <f t="shared" si="12"/>
        <v>0</v>
      </c>
      <c r="S62" s="2"/>
      <c r="T62" s="2">
        <f>SUM(OSRRefT22_12x_0)</f>
        <v>31068.48</v>
      </c>
      <c r="U62" s="2"/>
      <c r="V62" s="6">
        <f t="shared" si="13"/>
        <v>0</v>
      </c>
      <c r="W62" s="2"/>
      <c r="X62" s="2">
        <f t="shared" si="14"/>
        <v>11135.439999999999</v>
      </c>
      <c r="Y62" s="2"/>
      <c r="Z62" s="6">
        <f t="shared" si="15"/>
        <v>0.35841598945297609</v>
      </c>
    </row>
    <row r="63" spans="1:26" s="69" customFormat="1" ht="15" hidden="1" customHeight="1" outlineLevel="2" x14ac:dyDescent="0.3">
      <c r="A63" s="26"/>
      <c r="B63" s="12" t="str">
        <f>CONCATENATE("          ","6314"," - ","LIABILITY INSURANCE")</f>
        <v xml:space="preserve">          6314 - LIABILITY INSURANCE</v>
      </c>
      <c r="C63" s="12"/>
      <c r="D63" s="8">
        <v>5275.49</v>
      </c>
      <c r="E63" s="3"/>
      <c r="F63" s="7">
        <f t="shared" si="8"/>
        <v>0</v>
      </c>
      <c r="G63" s="3"/>
      <c r="H63" s="8">
        <v>3883.56</v>
      </c>
      <c r="I63" s="3"/>
      <c r="J63" s="7">
        <f t="shared" si="9"/>
        <v>0</v>
      </c>
      <c r="K63" s="3"/>
      <c r="L63" s="8">
        <f t="shared" si="10"/>
        <v>1391.9299999999998</v>
      </c>
      <c r="M63" s="3"/>
      <c r="N63" s="7">
        <f t="shared" si="11"/>
        <v>0.35841598945297609</v>
      </c>
      <c r="O63" s="12"/>
      <c r="P63" s="8">
        <v>42203.92</v>
      </c>
      <c r="Q63" s="3"/>
      <c r="R63" s="7">
        <f t="shared" si="12"/>
        <v>0</v>
      </c>
      <c r="S63" s="3"/>
      <c r="T63" s="8">
        <v>31068.48</v>
      </c>
      <c r="U63" s="3"/>
      <c r="V63" s="7">
        <f t="shared" si="13"/>
        <v>0</v>
      </c>
      <c r="W63" s="3"/>
      <c r="X63" s="8">
        <f t="shared" si="14"/>
        <v>11135.439999999999</v>
      </c>
      <c r="Y63" s="3"/>
      <c r="Z63" s="7">
        <f t="shared" si="15"/>
        <v>0.35841598945297609</v>
      </c>
    </row>
    <row r="64" spans="1:26" s="68" customFormat="1" ht="15" customHeight="1" outlineLevel="1" collapsed="1" x14ac:dyDescent="0.3">
      <c r="A64" s="25"/>
      <c r="B64" s="14" t="str">
        <f>CONCATENATE("     ","Professional Services                             ")</f>
        <v xml:space="preserve">     Professional Services                             </v>
      </c>
      <c r="C64" s="14"/>
      <c r="D64" s="2">
        <f>SUM(OSRRefD22_13x_0)</f>
        <v>0</v>
      </c>
      <c r="E64" s="2"/>
      <c r="F64" s="6">
        <f t="shared" si="8"/>
        <v>0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0</v>
      </c>
      <c r="M64" s="2"/>
      <c r="N64" s="6">
        <f t="shared" si="11"/>
        <v>0</v>
      </c>
      <c r="O64" s="14"/>
      <c r="P64" s="2">
        <f>SUM(OSRRefP22_13x_0)</f>
        <v>7517.43</v>
      </c>
      <c r="Q64" s="2"/>
      <c r="R64" s="6">
        <f t="shared" si="12"/>
        <v>0</v>
      </c>
      <c r="S64" s="2"/>
      <c r="T64" s="2">
        <f>SUM(OSRRefT22_13x_0)</f>
        <v>0</v>
      </c>
      <c r="U64" s="2"/>
      <c r="V64" s="6">
        <f t="shared" si="13"/>
        <v>0</v>
      </c>
      <c r="W64" s="2"/>
      <c r="X64" s="2">
        <f t="shared" si="14"/>
        <v>7517.43</v>
      </c>
      <c r="Y64" s="2"/>
      <c r="Z64" s="6">
        <f t="shared" si="15"/>
        <v>0</v>
      </c>
    </row>
    <row r="65" spans="1:26" s="69" customFormat="1" ht="15" hidden="1" customHeight="1" outlineLevel="2" x14ac:dyDescent="0.3">
      <c r="A65" s="26"/>
      <c r="B65" s="12" t="str">
        <f>CONCATENATE("          ","6336"," - ","PROFESSIONAL SERVICES")</f>
        <v xml:space="preserve">          6336 - PROFESSIONAL SERVICES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7517.43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7517.43</v>
      </c>
      <c r="Y65" s="3"/>
      <c r="Z65" s="7">
        <f t="shared" si="15"/>
        <v>0</v>
      </c>
    </row>
    <row r="66" spans="1:26" s="68" customFormat="1" ht="15" customHeight="1" outlineLevel="1" collapsed="1" x14ac:dyDescent="0.3">
      <c r="A66" s="25"/>
      <c r="B66" s="14" t="str">
        <f>CONCATENATE("     ","Rent                                              ")</f>
        <v xml:space="preserve">     Rent                                              </v>
      </c>
      <c r="C66" s="14"/>
      <c r="D66" s="2">
        <f>SUM(OSRRefD22_14x_0)</f>
        <v>-800</v>
      </c>
      <c r="E66" s="2"/>
      <c r="F66" s="6">
        <f t="shared" si="8"/>
        <v>0</v>
      </c>
      <c r="G66" s="2"/>
      <c r="H66" s="2">
        <f>SUM(OSRRefH22_14x_0)</f>
        <v>-800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SUM(OSRRefP22_14x_0)</f>
        <v>-6400</v>
      </c>
      <c r="Q66" s="2"/>
      <c r="R66" s="6">
        <f t="shared" si="12"/>
        <v>0</v>
      </c>
      <c r="S66" s="2"/>
      <c r="T66" s="2">
        <f>SUM(OSRRefT22_14x_0)</f>
        <v>-6400</v>
      </c>
      <c r="U66" s="2"/>
      <c r="V66" s="6">
        <f t="shared" si="13"/>
        <v>0</v>
      </c>
      <c r="W66" s="2"/>
      <c r="X66" s="2">
        <f t="shared" si="14"/>
        <v>0</v>
      </c>
      <c r="Y66" s="2"/>
      <c r="Z66" s="6">
        <f t="shared" si="15"/>
        <v>0</v>
      </c>
    </row>
    <row r="67" spans="1:26" s="69" customFormat="1" ht="15" hidden="1" customHeight="1" outlineLevel="2" x14ac:dyDescent="0.3">
      <c r="A67" s="26"/>
      <c r="B67" s="12" t="str">
        <f>CONCATENATE("          ","6273"," - ","RENT")</f>
        <v xml:space="preserve">          6273 - RENT</v>
      </c>
      <c r="C67" s="12"/>
      <c r="D67" s="8">
        <v>-800</v>
      </c>
      <c r="E67" s="3"/>
      <c r="F67" s="7">
        <f t="shared" si="8"/>
        <v>0</v>
      </c>
      <c r="G67" s="3"/>
      <c r="H67" s="8">
        <v>-800</v>
      </c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-6400</v>
      </c>
      <c r="Q67" s="3"/>
      <c r="R67" s="7">
        <f t="shared" si="12"/>
        <v>0</v>
      </c>
      <c r="S67" s="3"/>
      <c r="T67" s="8">
        <v>-6400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68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SUM(OSRRefD22_15x_0)</f>
        <v>3337.9</v>
      </c>
      <c r="E68" s="2"/>
      <c r="F68" s="6">
        <f t="shared" si="8"/>
        <v>0</v>
      </c>
      <c r="G68" s="2"/>
      <c r="H68" s="2">
        <f>SUM(OSRRefH22_15x_0)</f>
        <v>15641.16</v>
      </c>
      <c r="I68" s="2"/>
      <c r="J68" s="6">
        <f t="shared" si="9"/>
        <v>0</v>
      </c>
      <c r="K68" s="2"/>
      <c r="L68" s="2">
        <f t="shared" si="10"/>
        <v>-12303.26</v>
      </c>
      <c r="M68" s="2"/>
      <c r="N68" s="6">
        <f t="shared" si="11"/>
        <v>-0.786595111871498</v>
      </c>
      <c r="O68" s="14"/>
      <c r="P68" s="2">
        <f>SUM(OSRRefP22_15x_0)</f>
        <v>82796.12</v>
      </c>
      <c r="Q68" s="2"/>
      <c r="R68" s="6">
        <f t="shared" si="12"/>
        <v>0</v>
      </c>
      <c r="S68" s="2"/>
      <c r="T68" s="2">
        <f>SUM(OSRRefT22_15x_0)</f>
        <v>97571.25</v>
      </c>
      <c r="U68" s="2"/>
      <c r="V68" s="6">
        <f t="shared" si="13"/>
        <v>0</v>
      </c>
      <c r="W68" s="2"/>
      <c r="X68" s="2">
        <f t="shared" si="14"/>
        <v>-14775.130000000005</v>
      </c>
      <c r="Y68" s="2"/>
      <c r="Z68" s="6">
        <f t="shared" si="15"/>
        <v>-0.1514291351192078</v>
      </c>
    </row>
    <row r="69" spans="1:26" s="69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8"/>
      <c r="E69" s="3"/>
      <c r="F69" s="7">
        <f t="shared" si="8"/>
        <v>0</v>
      </c>
      <c r="G69" s="3"/>
      <c r="H69" s="8">
        <v>1331.25</v>
      </c>
      <c r="I69" s="3"/>
      <c r="J69" s="7">
        <f t="shared" si="9"/>
        <v>0</v>
      </c>
      <c r="K69" s="3"/>
      <c r="L69" s="8">
        <f t="shared" si="10"/>
        <v>-1331.25</v>
      </c>
      <c r="M69" s="3"/>
      <c r="N69" s="7">
        <f t="shared" si="11"/>
        <v>-1</v>
      </c>
      <c r="O69" s="12"/>
      <c r="P69" s="8">
        <v>56736</v>
      </c>
      <c r="Q69" s="3"/>
      <c r="R69" s="7">
        <f t="shared" si="12"/>
        <v>0</v>
      </c>
      <c r="S69" s="3"/>
      <c r="T69" s="8">
        <v>59760.03</v>
      </c>
      <c r="U69" s="3"/>
      <c r="V69" s="7">
        <f t="shared" si="13"/>
        <v>0</v>
      </c>
      <c r="W69" s="3"/>
      <c r="X69" s="8">
        <f t="shared" si="14"/>
        <v>-3024.0299999999988</v>
      </c>
      <c r="Y69" s="3"/>
      <c r="Z69" s="7">
        <f t="shared" si="15"/>
        <v>-5.0602886243530987E-2</v>
      </c>
    </row>
    <row r="70" spans="1:26" s="69" customFormat="1" ht="15" hidden="1" customHeight="1" outlineLevel="2" x14ac:dyDescent="0.3">
      <c r="A70" s="26"/>
      <c r="B70" s="12" t="str">
        <f>CONCATENATE("          ","6372"," - ","COMPUTER HARDWARE MAINTENANCE")</f>
        <v xml:space="preserve">          6372 - COMPUTER HARDWARE MAINTENANCE</v>
      </c>
      <c r="C70" s="12"/>
      <c r="D70" s="8"/>
      <c r="E70" s="3"/>
      <c r="F70" s="7">
        <f t="shared" si="8"/>
        <v>0</v>
      </c>
      <c r="G70" s="3"/>
      <c r="H70" s="8">
        <v>-0.63</v>
      </c>
      <c r="I70" s="3"/>
      <c r="J70" s="7">
        <f t="shared" si="9"/>
        <v>0</v>
      </c>
      <c r="K70" s="3"/>
      <c r="L70" s="8">
        <f t="shared" si="10"/>
        <v>0.63</v>
      </c>
      <c r="M70" s="3"/>
      <c r="N70" s="7">
        <f t="shared" si="11"/>
        <v>-1</v>
      </c>
      <c r="O70" s="12"/>
      <c r="P70" s="8"/>
      <c r="Q70" s="3"/>
      <c r="R70" s="7">
        <f t="shared" si="12"/>
        <v>0</v>
      </c>
      <c r="S70" s="3"/>
      <c r="T70" s="8">
        <v>-0.63</v>
      </c>
      <c r="U70" s="3"/>
      <c r="V70" s="7">
        <f t="shared" si="13"/>
        <v>0</v>
      </c>
      <c r="W70" s="3"/>
      <c r="X70" s="8">
        <f t="shared" si="14"/>
        <v>0.63</v>
      </c>
      <c r="Y70" s="3"/>
      <c r="Z70" s="7">
        <f t="shared" si="15"/>
        <v>-1</v>
      </c>
    </row>
    <row r="71" spans="1:26" s="69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8">
        <v>1126.33</v>
      </c>
      <c r="E71" s="3"/>
      <c r="F71" s="7">
        <f t="shared" si="8"/>
        <v>0</v>
      </c>
      <c r="G71" s="3"/>
      <c r="H71" s="8">
        <v>2884.06</v>
      </c>
      <c r="I71" s="3"/>
      <c r="J71" s="7">
        <f t="shared" si="9"/>
        <v>0</v>
      </c>
      <c r="K71" s="3"/>
      <c r="L71" s="8">
        <f t="shared" si="10"/>
        <v>-1757.73</v>
      </c>
      <c r="M71" s="3"/>
      <c r="N71" s="7">
        <f t="shared" si="11"/>
        <v>-0.60946374208580956</v>
      </c>
      <c r="O71" s="12"/>
      <c r="P71" s="8">
        <v>9583.64</v>
      </c>
      <c r="Q71" s="3"/>
      <c r="R71" s="7">
        <f t="shared" si="12"/>
        <v>0</v>
      </c>
      <c r="S71" s="3"/>
      <c r="T71" s="8">
        <v>12073.81</v>
      </c>
      <c r="U71" s="3"/>
      <c r="V71" s="7">
        <f t="shared" si="13"/>
        <v>0</v>
      </c>
      <c r="W71" s="3"/>
      <c r="X71" s="8">
        <f t="shared" si="14"/>
        <v>-2490.17</v>
      </c>
      <c r="Y71" s="3"/>
      <c r="Z71" s="7">
        <f t="shared" si="15"/>
        <v>-0.20624558445097282</v>
      </c>
    </row>
    <row r="72" spans="1:26" s="69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2211.5700000000002</v>
      </c>
      <c r="E72" s="3"/>
      <c r="F72" s="7">
        <f t="shared" si="8"/>
        <v>0</v>
      </c>
      <c r="G72" s="3"/>
      <c r="H72" s="8">
        <v>11426.48</v>
      </c>
      <c r="I72" s="3"/>
      <c r="J72" s="7">
        <f t="shared" si="9"/>
        <v>0</v>
      </c>
      <c r="K72" s="3"/>
      <c r="L72" s="8">
        <f t="shared" si="10"/>
        <v>-9214.91</v>
      </c>
      <c r="M72" s="3"/>
      <c r="N72" s="7">
        <f t="shared" si="11"/>
        <v>-0.80645220575365295</v>
      </c>
      <c r="O72" s="12"/>
      <c r="P72" s="8">
        <v>16476.48</v>
      </c>
      <c r="Q72" s="3"/>
      <c r="R72" s="7">
        <f t="shared" si="12"/>
        <v>0</v>
      </c>
      <c r="S72" s="3"/>
      <c r="T72" s="8">
        <v>25738.04</v>
      </c>
      <c r="U72" s="3"/>
      <c r="V72" s="7">
        <f t="shared" si="13"/>
        <v>0</v>
      </c>
      <c r="W72" s="3"/>
      <c r="X72" s="8">
        <f t="shared" si="14"/>
        <v>-9261.5600000000013</v>
      </c>
      <c r="Y72" s="3"/>
      <c r="Z72" s="7">
        <f t="shared" si="15"/>
        <v>-0.35983936616774242</v>
      </c>
    </row>
    <row r="73" spans="1:26" s="68" customFormat="1" ht="15" customHeight="1" outlineLevel="1" collapsed="1" x14ac:dyDescent="0.3">
      <c r="A73" s="25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SUM(OSRRefD22_16x_0)</f>
        <v>6581.67</v>
      </c>
      <c r="E73" s="2"/>
      <c r="F73" s="6">
        <f t="shared" si="8"/>
        <v>0</v>
      </c>
      <c r="G73" s="2"/>
      <c r="H73" s="2">
        <f>SUM(OSRRefH22_16x_0)</f>
        <v>3850.73</v>
      </c>
      <c r="I73" s="2"/>
      <c r="J73" s="6">
        <f t="shared" si="9"/>
        <v>0</v>
      </c>
      <c r="K73" s="2"/>
      <c r="L73" s="2">
        <f t="shared" si="10"/>
        <v>2730.94</v>
      </c>
      <c r="M73" s="2"/>
      <c r="N73" s="6">
        <f t="shared" si="11"/>
        <v>0.70920059313428885</v>
      </c>
      <c r="O73" s="14"/>
      <c r="P73" s="2">
        <f>SUM(OSRRefP22_16x_0)</f>
        <v>41968.84</v>
      </c>
      <c r="Q73" s="2"/>
      <c r="R73" s="6">
        <f t="shared" si="12"/>
        <v>0</v>
      </c>
      <c r="S73" s="2"/>
      <c r="T73" s="2">
        <f>SUM(OSRRefT22_16x_0)</f>
        <v>28286.89</v>
      </c>
      <c r="U73" s="2"/>
      <c r="V73" s="6">
        <f t="shared" si="13"/>
        <v>0</v>
      </c>
      <c r="W73" s="2"/>
      <c r="X73" s="2">
        <f t="shared" si="14"/>
        <v>13681.949999999997</v>
      </c>
      <c r="Y73" s="2"/>
      <c r="Z73" s="6">
        <f t="shared" si="15"/>
        <v>0.48368519833746293</v>
      </c>
    </row>
    <row r="74" spans="1:26" s="69" customFormat="1" ht="15" hidden="1" customHeight="1" outlineLevel="2" x14ac:dyDescent="0.3">
      <c r="A74" s="26"/>
      <c r="B74" s="12" t="str">
        <f>CONCATENATE("          ","6282"," - ","JANITORIAL/EXTERMINATOR EXPENS")</f>
        <v xml:space="preserve">          6282 - JANITORIAL/EXTERMINATOR EXPENS</v>
      </c>
      <c r="C74" s="12"/>
      <c r="D74" s="8">
        <v>281.3</v>
      </c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281.3</v>
      </c>
      <c r="M74" s="3"/>
      <c r="N74" s="7">
        <f t="shared" si="11"/>
        <v>0</v>
      </c>
      <c r="O74" s="12"/>
      <c r="P74" s="8">
        <v>1776.38</v>
      </c>
      <c r="Q74" s="3"/>
      <c r="R74" s="7">
        <f t="shared" si="12"/>
        <v>0</v>
      </c>
      <c r="S74" s="3"/>
      <c r="T74" s="8">
        <v>6777.12</v>
      </c>
      <c r="U74" s="3"/>
      <c r="V74" s="7">
        <f t="shared" si="13"/>
        <v>0</v>
      </c>
      <c r="W74" s="3"/>
      <c r="X74" s="8">
        <f t="shared" si="14"/>
        <v>-5000.74</v>
      </c>
      <c r="Y74" s="3"/>
      <c r="Z74" s="7">
        <f t="shared" si="15"/>
        <v>-0.7378857095639445</v>
      </c>
    </row>
    <row r="75" spans="1:26" s="69" customFormat="1" ht="15" hidden="1" customHeight="1" outlineLevel="2" x14ac:dyDescent="0.3">
      <c r="A75" s="26"/>
      <c r="B75" s="12" t="str">
        <f>CONCATENATE("          ","6283"," - ","PLANT SERVICE")</f>
        <v xml:space="preserve">          6283 - PLANT SERVICE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/>
      <c r="Q75" s="3"/>
      <c r="R75" s="7">
        <f t="shared" si="12"/>
        <v>0</v>
      </c>
      <c r="S75" s="3"/>
      <c r="T75" s="8">
        <v>130</v>
      </c>
      <c r="U75" s="3"/>
      <c r="V75" s="7">
        <f t="shared" si="13"/>
        <v>0</v>
      </c>
      <c r="W75" s="3"/>
      <c r="X75" s="8">
        <f t="shared" si="14"/>
        <v>-130</v>
      </c>
      <c r="Y75" s="3"/>
      <c r="Z75" s="7">
        <f t="shared" si="15"/>
        <v>-1</v>
      </c>
    </row>
    <row r="76" spans="1:26" s="69" customFormat="1" ht="15" hidden="1" customHeight="1" outlineLevel="2" x14ac:dyDescent="0.3">
      <c r="A76" s="26"/>
      <c r="B76" s="12" t="str">
        <f>CONCATENATE("          ","6285"," - ","JANITORIAL SERVICES")</f>
        <v xml:space="preserve">          6285 - JANITORIAL SERVICES</v>
      </c>
      <c r="C76" s="12"/>
      <c r="D76" s="8">
        <v>6300.37</v>
      </c>
      <c r="E76" s="3"/>
      <c r="F76" s="7">
        <f t="shared" si="8"/>
        <v>0</v>
      </c>
      <c r="G76" s="3"/>
      <c r="H76" s="8">
        <v>3850.73</v>
      </c>
      <c r="I76" s="3"/>
      <c r="J76" s="7">
        <f t="shared" si="9"/>
        <v>0</v>
      </c>
      <c r="K76" s="3"/>
      <c r="L76" s="8">
        <f t="shared" si="10"/>
        <v>2449.64</v>
      </c>
      <c r="M76" s="3"/>
      <c r="N76" s="7">
        <f t="shared" si="11"/>
        <v>0.63614950931381842</v>
      </c>
      <c r="O76" s="12"/>
      <c r="P76" s="8">
        <v>40192.46</v>
      </c>
      <c r="Q76" s="3"/>
      <c r="R76" s="7">
        <f t="shared" si="12"/>
        <v>0</v>
      </c>
      <c r="S76" s="3"/>
      <c r="T76" s="8">
        <v>21379.77</v>
      </c>
      <c r="U76" s="3"/>
      <c r="V76" s="7">
        <f t="shared" si="13"/>
        <v>0</v>
      </c>
      <c r="W76" s="3"/>
      <c r="X76" s="8">
        <f t="shared" si="14"/>
        <v>18812.689999999999</v>
      </c>
      <c r="Y76" s="3"/>
      <c r="Z76" s="7">
        <f t="shared" si="15"/>
        <v>0.87992948474188437</v>
      </c>
    </row>
    <row r="77" spans="1:26" s="68" customFormat="1" ht="15" customHeight="1" outlineLevel="1" collapsed="1" x14ac:dyDescent="0.3">
      <c r="A77" s="25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2">
        <f>SUM(OSRRefD22_17x_0)</f>
        <v>0</v>
      </c>
      <c r="E77" s="2"/>
      <c r="F77" s="6">
        <f t="shared" si="8"/>
        <v>0</v>
      </c>
      <c r="G77" s="2"/>
      <c r="H77" s="2">
        <f>SUM(OSRRefH22_17x_0)</f>
        <v>0</v>
      </c>
      <c r="I77" s="2"/>
      <c r="J77" s="6">
        <f t="shared" si="9"/>
        <v>0</v>
      </c>
      <c r="K77" s="2"/>
      <c r="L77" s="2">
        <f t="shared" si="10"/>
        <v>0</v>
      </c>
      <c r="M77" s="2"/>
      <c r="N77" s="6">
        <f t="shared" si="11"/>
        <v>0</v>
      </c>
      <c r="O77" s="14"/>
      <c r="P77" s="2">
        <f>SUM(OSRRefP22_17x_0)</f>
        <v>-120</v>
      </c>
      <c r="Q77" s="2"/>
      <c r="R77" s="6">
        <f t="shared" si="12"/>
        <v>0</v>
      </c>
      <c r="S77" s="2"/>
      <c r="T77" s="2">
        <f>SUM(OSRRefT22_17x_0)</f>
        <v>0</v>
      </c>
      <c r="U77" s="2"/>
      <c r="V77" s="6">
        <f t="shared" si="13"/>
        <v>0</v>
      </c>
      <c r="W77" s="2"/>
      <c r="X77" s="2">
        <f t="shared" si="14"/>
        <v>-120</v>
      </c>
      <c r="Y77" s="2"/>
      <c r="Z77" s="6">
        <f t="shared" si="15"/>
        <v>0</v>
      </c>
    </row>
    <row r="78" spans="1:26" s="69" customFormat="1" ht="15" hidden="1" customHeight="1" outlineLevel="2" x14ac:dyDescent="0.3">
      <c r="A78" s="26"/>
      <c r="B78" s="12" t="str">
        <f>CONCATENATE("          ","6258"," - ","MEMBERSHIP DUES")</f>
        <v xml:space="preserve">          6258 - MEMBERSHIP DUES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-120</v>
      </c>
      <c r="Q78" s="3"/>
      <c r="R78" s="7">
        <f t="shared" si="12"/>
        <v>0</v>
      </c>
      <c r="S78" s="3"/>
      <c r="T78" s="8"/>
      <c r="U78" s="3"/>
      <c r="V78" s="7">
        <f t="shared" si="13"/>
        <v>0</v>
      </c>
      <c r="W78" s="3"/>
      <c r="X78" s="8">
        <f t="shared" si="14"/>
        <v>-120</v>
      </c>
      <c r="Y78" s="3"/>
      <c r="Z78" s="7">
        <f t="shared" si="15"/>
        <v>0</v>
      </c>
    </row>
    <row r="79" spans="1:26" s="68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SUM(OSRRefD22_18x_0)</f>
        <v>13772.9</v>
      </c>
      <c r="E79" s="2"/>
      <c r="F79" s="6">
        <f t="shared" si="8"/>
        <v>0</v>
      </c>
      <c r="G79" s="2"/>
      <c r="H79" s="2">
        <f>SUM(OSRRefH22_18x_0)</f>
        <v>9405.6299999999992</v>
      </c>
      <c r="I79" s="2"/>
      <c r="J79" s="6">
        <f t="shared" si="9"/>
        <v>0</v>
      </c>
      <c r="K79" s="2"/>
      <c r="L79" s="2">
        <f t="shared" si="10"/>
        <v>4367.2700000000004</v>
      </c>
      <c r="M79" s="2"/>
      <c r="N79" s="6">
        <f t="shared" si="11"/>
        <v>0.46432509039798514</v>
      </c>
      <c r="O79" s="14"/>
      <c r="P79" s="2">
        <f>SUM(OSRRefP22_18x_0)</f>
        <v>36216.47</v>
      </c>
      <c r="Q79" s="2"/>
      <c r="R79" s="6">
        <f t="shared" si="12"/>
        <v>0</v>
      </c>
      <c r="S79" s="2"/>
      <c r="T79" s="2">
        <f>SUM(OSRRefT22_18x_0)</f>
        <v>58327.920000000013</v>
      </c>
      <c r="U79" s="2"/>
      <c r="V79" s="6">
        <f t="shared" si="13"/>
        <v>0</v>
      </c>
      <c r="W79" s="2"/>
      <c r="X79" s="2">
        <f t="shared" si="14"/>
        <v>-22111.450000000012</v>
      </c>
      <c r="Y79" s="2"/>
      <c r="Z79" s="6">
        <f t="shared" si="15"/>
        <v>-0.37908860799425054</v>
      </c>
    </row>
    <row r="80" spans="1:26" s="69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8"/>
        <v>0</v>
      </c>
      <c r="G80" s="3"/>
      <c r="H80" s="8"/>
      <c r="I80" s="3"/>
      <c r="J80" s="7">
        <f t="shared" si="9"/>
        <v>0</v>
      </c>
      <c r="K80" s="3"/>
      <c r="L80" s="8">
        <f t="shared" si="10"/>
        <v>0</v>
      </c>
      <c r="M80" s="3"/>
      <c r="N80" s="7">
        <f t="shared" si="11"/>
        <v>0</v>
      </c>
      <c r="O80" s="12"/>
      <c r="P80" s="8">
        <v>3896.02</v>
      </c>
      <c r="Q80" s="3"/>
      <c r="R80" s="7">
        <f t="shared" si="12"/>
        <v>0</v>
      </c>
      <c r="S80" s="3"/>
      <c r="T80" s="8">
        <v>-449.34</v>
      </c>
      <c r="U80" s="3"/>
      <c r="V80" s="7">
        <f t="shared" si="13"/>
        <v>0</v>
      </c>
      <c r="W80" s="3"/>
      <c r="X80" s="8">
        <f t="shared" si="14"/>
        <v>4345.3599999999997</v>
      </c>
      <c r="Y80" s="3"/>
      <c r="Z80" s="7">
        <f t="shared" si="15"/>
        <v>-9.6705390127742916</v>
      </c>
    </row>
    <row r="81" spans="1:26" s="69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8"/>
      <c r="E81" s="3"/>
      <c r="F81" s="7">
        <f t="shared" si="8"/>
        <v>0</v>
      </c>
      <c r="G81" s="3"/>
      <c r="H81" s="8">
        <v>2992.14</v>
      </c>
      <c r="I81" s="3"/>
      <c r="J81" s="7">
        <f t="shared" si="9"/>
        <v>0</v>
      </c>
      <c r="K81" s="3"/>
      <c r="L81" s="8">
        <f t="shared" si="10"/>
        <v>-2992.14</v>
      </c>
      <c r="M81" s="3"/>
      <c r="N81" s="7">
        <f t="shared" si="11"/>
        <v>-1</v>
      </c>
      <c r="O81" s="12"/>
      <c r="P81" s="8">
        <v>3430.32</v>
      </c>
      <c r="Q81" s="3"/>
      <c r="R81" s="7">
        <f t="shared" si="12"/>
        <v>0</v>
      </c>
      <c r="S81" s="3"/>
      <c r="T81" s="8">
        <v>35243.83</v>
      </c>
      <c r="U81" s="3"/>
      <c r="V81" s="7">
        <f t="shared" si="13"/>
        <v>0</v>
      </c>
      <c r="W81" s="3"/>
      <c r="X81" s="8">
        <f t="shared" si="14"/>
        <v>-31813.510000000002</v>
      </c>
      <c r="Y81" s="3"/>
      <c r="Z81" s="7">
        <f t="shared" si="15"/>
        <v>-0.90266892105653673</v>
      </c>
    </row>
    <row r="82" spans="1:26" s="69" customFormat="1" ht="15" hidden="1" customHeight="1" outlineLevel="2" x14ac:dyDescent="0.3">
      <c r="A82" s="26"/>
      <c r="B82" s="12" t="str">
        <f>CONCATENATE("          ","6237"," - ","JANITORIAL SUPPLIES")</f>
        <v xml:space="preserve">          6237 - JANITORIAL SUPPLIES</v>
      </c>
      <c r="C82" s="12"/>
      <c r="D82" s="8"/>
      <c r="E82" s="3"/>
      <c r="F82" s="7">
        <f t="shared" si="8"/>
        <v>0</v>
      </c>
      <c r="G82" s="3"/>
      <c r="H82" s="8"/>
      <c r="I82" s="3"/>
      <c r="J82" s="7">
        <f t="shared" si="9"/>
        <v>0</v>
      </c>
      <c r="K82" s="3"/>
      <c r="L82" s="8">
        <f t="shared" si="10"/>
        <v>0</v>
      </c>
      <c r="M82" s="3"/>
      <c r="N82" s="7">
        <f t="shared" si="11"/>
        <v>0</v>
      </c>
      <c r="O82" s="12"/>
      <c r="P82" s="8">
        <v>4454</v>
      </c>
      <c r="Q82" s="3"/>
      <c r="R82" s="7">
        <f t="shared" si="12"/>
        <v>0</v>
      </c>
      <c r="S82" s="3"/>
      <c r="T82" s="8">
        <v>2071.91</v>
      </c>
      <c r="U82" s="3"/>
      <c r="V82" s="7">
        <f t="shared" si="13"/>
        <v>0</v>
      </c>
      <c r="W82" s="3"/>
      <c r="X82" s="8">
        <f t="shared" si="14"/>
        <v>2382.09</v>
      </c>
      <c r="Y82" s="3"/>
      <c r="Z82" s="7">
        <f t="shared" si="15"/>
        <v>1.1497072749298958</v>
      </c>
    </row>
    <row r="83" spans="1:26" s="69" customFormat="1" ht="15" hidden="1" customHeight="1" outlineLevel="2" x14ac:dyDescent="0.3">
      <c r="A83" s="26"/>
      <c r="B83" s="12" t="str">
        <f>CONCATENATE("          ","6241"," - ","OFFICE EXPENSE")</f>
        <v xml:space="preserve">          6241 - OFFICE EXPENSE</v>
      </c>
      <c r="C83" s="12"/>
      <c r="D83" s="8">
        <v>155.72999999999999</v>
      </c>
      <c r="E83" s="3"/>
      <c r="F83" s="7">
        <f t="shared" ref="F83:F94" si="16">IF(D$12=0,0,D83/D$12)</f>
        <v>0</v>
      </c>
      <c r="G83" s="3"/>
      <c r="H83" s="8">
        <v>544.01</v>
      </c>
      <c r="I83" s="3"/>
      <c r="J83" s="7">
        <f t="shared" ref="J83:J94" si="17">IF(H$12=0,0,H83/H$12)</f>
        <v>0</v>
      </c>
      <c r="K83" s="3"/>
      <c r="L83" s="8">
        <f t="shared" ref="L83:L94" si="18">+D83-H83</f>
        <v>-388.28</v>
      </c>
      <c r="M83" s="3"/>
      <c r="N83" s="7">
        <f t="shared" ref="N83:N94" si="19">IF(H83=0,0,L83/H83)</f>
        <v>-0.7137368798367677</v>
      </c>
      <c r="O83" s="12"/>
      <c r="P83" s="8">
        <v>1489.33</v>
      </c>
      <c r="Q83" s="3"/>
      <c r="R83" s="7">
        <f t="shared" ref="R83:R94" si="20">IF(P$12=0,0,P83/P$12)</f>
        <v>0</v>
      </c>
      <c r="S83" s="3"/>
      <c r="T83" s="8">
        <v>2839.98</v>
      </c>
      <c r="U83" s="3"/>
      <c r="V83" s="7">
        <f t="shared" ref="V83:V94" si="21">IF(T$12=0,0,T83/T$12)</f>
        <v>0</v>
      </c>
      <c r="W83" s="3"/>
      <c r="X83" s="8">
        <f t="shared" ref="X83:X94" si="22">+P83-T83</f>
        <v>-1350.65</v>
      </c>
      <c r="Y83" s="3"/>
      <c r="Z83" s="7">
        <f t="shared" ref="Z83:Z94" si="23">IF(T83=0,0,X83/T83)</f>
        <v>-0.47558433510095144</v>
      </c>
    </row>
    <row r="84" spans="1:26" s="69" customFormat="1" ht="15" hidden="1" customHeight="1" outlineLevel="2" x14ac:dyDescent="0.3">
      <c r="A84" s="26"/>
      <c r="B84" s="12" t="str">
        <f>CONCATENATE("          ","6245"," - ","PRINTING")</f>
        <v xml:space="preserve">          6245 - PRINTING</v>
      </c>
      <c r="C84" s="12"/>
      <c r="D84" s="8"/>
      <c r="E84" s="3"/>
      <c r="F84" s="7">
        <f t="shared" si="16"/>
        <v>0</v>
      </c>
      <c r="G84" s="3"/>
      <c r="H84" s="8"/>
      <c r="I84" s="3"/>
      <c r="J84" s="7">
        <f t="shared" si="17"/>
        <v>0</v>
      </c>
      <c r="K84" s="3"/>
      <c r="L84" s="8">
        <f t="shared" si="18"/>
        <v>0</v>
      </c>
      <c r="M84" s="3"/>
      <c r="N84" s="7">
        <f t="shared" si="19"/>
        <v>0</v>
      </c>
      <c r="O84" s="12"/>
      <c r="P84" s="8">
        <v>1618.44</v>
      </c>
      <c r="Q84" s="3"/>
      <c r="R84" s="7">
        <f t="shared" si="20"/>
        <v>0</v>
      </c>
      <c r="S84" s="3"/>
      <c r="T84" s="8">
        <v>68.66</v>
      </c>
      <c r="U84" s="3"/>
      <c r="V84" s="7">
        <f t="shared" si="21"/>
        <v>0</v>
      </c>
      <c r="W84" s="3"/>
      <c r="X84" s="8">
        <f t="shared" si="22"/>
        <v>1549.78</v>
      </c>
      <c r="Y84" s="3"/>
      <c r="Z84" s="7">
        <f t="shared" si="23"/>
        <v>22.571803087678415</v>
      </c>
    </row>
    <row r="85" spans="1:26" s="69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8">
        <v>13617.17</v>
      </c>
      <c r="E85" s="3"/>
      <c r="F85" s="7">
        <f t="shared" si="16"/>
        <v>0</v>
      </c>
      <c r="G85" s="3"/>
      <c r="H85" s="8">
        <v>5869.48</v>
      </c>
      <c r="I85" s="3"/>
      <c r="J85" s="7">
        <f t="shared" si="17"/>
        <v>0</v>
      </c>
      <c r="K85" s="3"/>
      <c r="L85" s="8">
        <f t="shared" si="18"/>
        <v>7747.6900000000005</v>
      </c>
      <c r="M85" s="3"/>
      <c r="N85" s="7">
        <f t="shared" si="19"/>
        <v>1.3199959792008833</v>
      </c>
      <c r="O85" s="12"/>
      <c r="P85" s="8">
        <v>21328.36</v>
      </c>
      <c r="Q85" s="3"/>
      <c r="R85" s="7">
        <f t="shared" si="20"/>
        <v>0</v>
      </c>
      <c r="S85" s="3"/>
      <c r="T85" s="8">
        <v>18552.88</v>
      </c>
      <c r="U85" s="3"/>
      <c r="V85" s="7">
        <f t="shared" si="21"/>
        <v>0</v>
      </c>
      <c r="W85" s="3"/>
      <c r="X85" s="8">
        <f t="shared" si="22"/>
        <v>2775.4799999999996</v>
      </c>
      <c r="Y85" s="3"/>
      <c r="Z85" s="7">
        <f t="shared" si="23"/>
        <v>0.14959833729318572</v>
      </c>
    </row>
    <row r="86" spans="1:26" s="68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SUM(OSRRefD22_19x_0)</f>
        <v>570.4</v>
      </c>
      <c r="E86" s="2"/>
      <c r="F86" s="6">
        <f t="shared" si="16"/>
        <v>0</v>
      </c>
      <c r="G86" s="2"/>
      <c r="H86" s="2">
        <f>SUM(OSRRefH22_19x_0)</f>
        <v>463.61</v>
      </c>
      <c r="I86" s="2"/>
      <c r="J86" s="6">
        <f t="shared" si="17"/>
        <v>0</v>
      </c>
      <c r="K86" s="2"/>
      <c r="L86" s="2">
        <f t="shared" si="18"/>
        <v>106.78999999999996</v>
      </c>
      <c r="M86" s="2"/>
      <c r="N86" s="6">
        <f t="shared" si="19"/>
        <v>0.23034447056793417</v>
      </c>
      <c r="O86" s="14"/>
      <c r="P86" s="2">
        <f>SUM(OSRRefP22_19x_0)</f>
        <v>4772.72</v>
      </c>
      <c r="Q86" s="2"/>
      <c r="R86" s="6">
        <f t="shared" si="20"/>
        <v>0</v>
      </c>
      <c r="S86" s="2"/>
      <c r="T86" s="2">
        <f>SUM(OSRRefT22_19x_0)</f>
        <v>4669.87</v>
      </c>
      <c r="U86" s="2"/>
      <c r="V86" s="6">
        <f t="shared" si="21"/>
        <v>0</v>
      </c>
      <c r="W86" s="2"/>
      <c r="X86" s="2">
        <f t="shared" si="22"/>
        <v>102.85000000000036</v>
      </c>
      <c r="Y86" s="2"/>
      <c r="Z86" s="6">
        <f t="shared" si="23"/>
        <v>2.2024167696317105E-2</v>
      </c>
    </row>
    <row r="87" spans="1:26" s="69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570.4</v>
      </c>
      <c r="E87" s="3"/>
      <c r="F87" s="7">
        <f t="shared" si="16"/>
        <v>0</v>
      </c>
      <c r="G87" s="3"/>
      <c r="H87" s="8">
        <v>463.61</v>
      </c>
      <c r="I87" s="3"/>
      <c r="J87" s="7">
        <f t="shared" si="17"/>
        <v>0</v>
      </c>
      <c r="K87" s="3"/>
      <c r="L87" s="8">
        <f t="shared" si="18"/>
        <v>106.78999999999996</v>
      </c>
      <c r="M87" s="3"/>
      <c r="N87" s="7">
        <f t="shared" si="19"/>
        <v>0.23034447056793417</v>
      </c>
      <c r="O87" s="12"/>
      <c r="P87" s="8">
        <v>4772.72</v>
      </c>
      <c r="Q87" s="3"/>
      <c r="R87" s="7">
        <f t="shared" si="20"/>
        <v>0</v>
      </c>
      <c r="S87" s="3"/>
      <c r="T87" s="8">
        <v>4669.87</v>
      </c>
      <c r="U87" s="3"/>
      <c r="V87" s="7">
        <f t="shared" si="21"/>
        <v>0</v>
      </c>
      <c r="W87" s="3"/>
      <c r="X87" s="8">
        <f t="shared" si="22"/>
        <v>102.85000000000036</v>
      </c>
      <c r="Y87" s="3"/>
      <c r="Z87" s="7">
        <f t="shared" si="23"/>
        <v>2.2024167696317105E-2</v>
      </c>
    </row>
    <row r="88" spans="1:26" s="68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SUM(OSRRefD22_20x_0)</f>
        <v>0</v>
      </c>
      <c r="E88" s="2"/>
      <c r="F88" s="6">
        <f t="shared" si="16"/>
        <v>0</v>
      </c>
      <c r="G88" s="2"/>
      <c r="H88" s="2">
        <f>SUM(OSRRefH22_20x_0)</f>
        <v>750</v>
      </c>
      <c r="I88" s="2"/>
      <c r="J88" s="6">
        <f t="shared" si="17"/>
        <v>0</v>
      </c>
      <c r="K88" s="2"/>
      <c r="L88" s="2">
        <f t="shared" si="18"/>
        <v>-750</v>
      </c>
      <c r="M88" s="2"/>
      <c r="N88" s="6">
        <f t="shared" si="19"/>
        <v>-1</v>
      </c>
      <c r="O88" s="14"/>
      <c r="P88" s="2">
        <f>SUM(OSRRefP22_20x_0)</f>
        <v>595</v>
      </c>
      <c r="Q88" s="2"/>
      <c r="R88" s="6">
        <f t="shared" si="20"/>
        <v>0</v>
      </c>
      <c r="S88" s="2"/>
      <c r="T88" s="2">
        <f>SUM(OSRRefT22_20x_0)</f>
        <v>881.63</v>
      </c>
      <c r="U88" s="2"/>
      <c r="V88" s="6">
        <f t="shared" si="21"/>
        <v>0</v>
      </c>
      <c r="W88" s="2"/>
      <c r="X88" s="2">
        <f t="shared" si="22"/>
        <v>-286.63</v>
      </c>
      <c r="Y88" s="2"/>
      <c r="Z88" s="6">
        <f t="shared" si="23"/>
        <v>-0.32511370983292309</v>
      </c>
    </row>
    <row r="89" spans="1:26" s="69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16"/>
        <v>0</v>
      </c>
      <c r="G89" s="3"/>
      <c r="H89" s="8">
        <v>750</v>
      </c>
      <c r="I89" s="3"/>
      <c r="J89" s="7">
        <f t="shared" si="17"/>
        <v>0</v>
      </c>
      <c r="K89" s="3"/>
      <c r="L89" s="8">
        <f t="shared" si="18"/>
        <v>-750</v>
      </c>
      <c r="M89" s="3"/>
      <c r="N89" s="7">
        <f t="shared" si="19"/>
        <v>-1</v>
      </c>
      <c r="O89" s="12"/>
      <c r="P89" s="8">
        <v>595</v>
      </c>
      <c r="Q89" s="3"/>
      <c r="R89" s="7">
        <f t="shared" si="20"/>
        <v>0</v>
      </c>
      <c r="S89" s="3"/>
      <c r="T89" s="8">
        <v>881.63</v>
      </c>
      <c r="U89" s="3"/>
      <c r="V89" s="7">
        <f t="shared" si="21"/>
        <v>0</v>
      </c>
      <c r="W89" s="3"/>
      <c r="X89" s="8">
        <f t="shared" si="22"/>
        <v>-286.63</v>
      </c>
      <c r="Y89" s="3"/>
      <c r="Z89" s="7">
        <f t="shared" si="23"/>
        <v>-0.32511370983292309</v>
      </c>
    </row>
    <row r="90" spans="1:26" s="68" customFormat="1" ht="15" customHeight="1" outlineLevel="1" collapsed="1" x14ac:dyDescent="0.3">
      <c r="A90" s="25"/>
      <c r="B90" s="14" t="str">
        <f>CONCATENATE("     ","Travel                                            ")</f>
        <v xml:space="preserve">     Travel                                            </v>
      </c>
      <c r="C90" s="14"/>
      <c r="D90" s="2">
        <f>SUM(OSRRefD22_21x_0)</f>
        <v>90.01</v>
      </c>
      <c r="E90" s="2"/>
      <c r="F90" s="6">
        <f t="shared" si="16"/>
        <v>0</v>
      </c>
      <c r="G90" s="2"/>
      <c r="H90" s="2">
        <f>SUM(OSRRefH22_21x_0)</f>
        <v>0</v>
      </c>
      <c r="I90" s="2"/>
      <c r="J90" s="6">
        <f t="shared" si="17"/>
        <v>0</v>
      </c>
      <c r="K90" s="2"/>
      <c r="L90" s="2">
        <f t="shared" si="18"/>
        <v>90.01</v>
      </c>
      <c r="M90" s="2"/>
      <c r="N90" s="6">
        <f t="shared" si="19"/>
        <v>0</v>
      </c>
      <c r="O90" s="14"/>
      <c r="P90" s="2">
        <f>SUM(OSRRefP22_21x_0)</f>
        <v>732.09</v>
      </c>
      <c r="Q90" s="2"/>
      <c r="R90" s="6">
        <f t="shared" si="20"/>
        <v>0</v>
      </c>
      <c r="S90" s="2"/>
      <c r="T90" s="2">
        <f>SUM(OSRRefT22_21x_0)</f>
        <v>358.89</v>
      </c>
      <c r="U90" s="2"/>
      <c r="V90" s="6">
        <f t="shared" si="21"/>
        <v>0</v>
      </c>
      <c r="W90" s="2"/>
      <c r="X90" s="2">
        <f t="shared" si="22"/>
        <v>373.20000000000005</v>
      </c>
      <c r="Y90" s="2"/>
      <c r="Z90" s="6">
        <f t="shared" si="23"/>
        <v>1.0398729415698404</v>
      </c>
    </row>
    <row r="91" spans="1:26" s="69" customFormat="1" ht="15" hidden="1" customHeight="1" outlineLevel="2" x14ac:dyDescent="0.3">
      <c r="A91" s="26"/>
      <c r="B91" s="12" t="str">
        <f>CONCATENATE("          ","6292"," - ","TRAVEL/CONFERENCE")</f>
        <v xml:space="preserve">          6292 - TRAVEL/CONFERENCE</v>
      </c>
      <c r="C91" s="12"/>
      <c r="D91" s="8"/>
      <c r="E91" s="3"/>
      <c r="F91" s="7">
        <f t="shared" si="16"/>
        <v>0</v>
      </c>
      <c r="G91" s="3"/>
      <c r="H91" s="8"/>
      <c r="I91" s="3"/>
      <c r="J91" s="7">
        <f t="shared" si="17"/>
        <v>0</v>
      </c>
      <c r="K91" s="3"/>
      <c r="L91" s="8">
        <f t="shared" si="18"/>
        <v>0</v>
      </c>
      <c r="M91" s="3"/>
      <c r="N91" s="7">
        <f t="shared" si="19"/>
        <v>0</v>
      </c>
      <c r="O91" s="12"/>
      <c r="P91" s="8">
        <v>495</v>
      </c>
      <c r="Q91" s="3"/>
      <c r="R91" s="7">
        <f t="shared" si="20"/>
        <v>0</v>
      </c>
      <c r="S91" s="3"/>
      <c r="T91" s="8">
        <v>299</v>
      </c>
      <c r="U91" s="3"/>
      <c r="V91" s="7">
        <f t="shared" si="21"/>
        <v>0</v>
      </c>
      <c r="W91" s="3"/>
      <c r="X91" s="8">
        <f t="shared" si="22"/>
        <v>196</v>
      </c>
      <c r="Y91" s="3"/>
      <c r="Z91" s="7">
        <f t="shared" si="23"/>
        <v>0.65551839464882944</v>
      </c>
    </row>
    <row r="92" spans="1:26" s="69" customFormat="1" ht="15" hidden="1" customHeight="1" outlineLevel="2" x14ac:dyDescent="0.3">
      <c r="A92" s="26"/>
      <c r="B92" s="12" t="str">
        <f>CONCATENATE("          ","6298"," - ","VEHICLE MILEAGE")</f>
        <v xml:space="preserve">          6298 - VEHICLE MILEAGE</v>
      </c>
      <c r="C92" s="12"/>
      <c r="D92" s="8">
        <v>90.01</v>
      </c>
      <c r="E92" s="3"/>
      <c r="F92" s="7">
        <f t="shared" si="16"/>
        <v>0</v>
      </c>
      <c r="G92" s="3"/>
      <c r="H92" s="8"/>
      <c r="I92" s="3"/>
      <c r="J92" s="7">
        <f t="shared" si="17"/>
        <v>0</v>
      </c>
      <c r="K92" s="3"/>
      <c r="L92" s="8">
        <f t="shared" si="18"/>
        <v>90.01</v>
      </c>
      <c r="M92" s="3"/>
      <c r="N92" s="7">
        <f t="shared" si="19"/>
        <v>0</v>
      </c>
      <c r="O92" s="12"/>
      <c r="P92" s="8">
        <v>237.09</v>
      </c>
      <c r="Q92" s="3"/>
      <c r="R92" s="7">
        <f t="shared" si="20"/>
        <v>0</v>
      </c>
      <c r="S92" s="3"/>
      <c r="T92" s="8">
        <v>59.89</v>
      </c>
      <c r="U92" s="3"/>
      <c r="V92" s="7">
        <f t="shared" si="21"/>
        <v>0</v>
      </c>
      <c r="W92" s="3"/>
      <c r="X92" s="8">
        <f t="shared" si="22"/>
        <v>177.2</v>
      </c>
      <c r="Y92" s="3"/>
      <c r="Z92" s="7">
        <f t="shared" si="23"/>
        <v>2.9587577224912338</v>
      </c>
    </row>
    <row r="93" spans="1:26" s="68" customFormat="1" ht="15" customHeight="1" outlineLevel="1" collapsed="1" x14ac:dyDescent="0.3">
      <c r="A93" s="25"/>
      <c r="B93" s="14" t="str">
        <f>CONCATENATE("     ","Utilities                                         ")</f>
        <v xml:space="preserve">     Utilities                                         </v>
      </c>
      <c r="C93" s="14"/>
      <c r="D93" s="2">
        <f>SUM(OSRRefD22_22x_0)</f>
        <v>6000</v>
      </c>
      <c r="E93" s="2"/>
      <c r="F93" s="6">
        <f t="shared" si="16"/>
        <v>0</v>
      </c>
      <c r="G93" s="2"/>
      <c r="H93" s="2">
        <f>SUM(OSRRefH22_22x_0)</f>
        <v>6133</v>
      </c>
      <c r="I93" s="2"/>
      <c r="J93" s="6">
        <f t="shared" si="17"/>
        <v>0</v>
      </c>
      <c r="K93" s="2"/>
      <c r="L93" s="2">
        <f t="shared" si="18"/>
        <v>-133</v>
      </c>
      <c r="M93" s="2"/>
      <c r="N93" s="6">
        <f t="shared" si="19"/>
        <v>-2.1685961193543126E-2</v>
      </c>
      <c r="O93" s="14"/>
      <c r="P93" s="2">
        <f>SUM(OSRRefP22_22x_0)</f>
        <v>42000</v>
      </c>
      <c r="Q93" s="2"/>
      <c r="R93" s="6">
        <f t="shared" si="20"/>
        <v>0</v>
      </c>
      <c r="S93" s="2"/>
      <c r="T93" s="2">
        <f>SUM(OSRRefT22_22x_0)</f>
        <v>48868</v>
      </c>
      <c r="U93" s="2"/>
      <c r="V93" s="6">
        <f t="shared" si="21"/>
        <v>0</v>
      </c>
      <c r="W93" s="2"/>
      <c r="X93" s="2">
        <f t="shared" si="22"/>
        <v>-6868</v>
      </c>
      <c r="Y93" s="2"/>
      <c r="Z93" s="6">
        <f t="shared" si="23"/>
        <v>-0.14054186788900713</v>
      </c>
    </row>
    <row r="94" spans="1:26" s="69" customFormat="1" ht="15" hidden="1" customHeight="1" outlineLevel="2" x14ac:dyDescent="0.3">
      <c r="A94" s="26"/>
      <c r="B94" s="12" t="str">
        <f>CONCATENATE("          ","6274"," - ","UTILITIES")</f>
        <v xml:space="preserve">          6274 - UTILITIES</v>
      </c>
      <c r="C94" s="12"/>
      <c r="D94" s="8">
        <v>6000</v>
      </c>
      <c r="E94" s="3"/>
      <c r="F94" s="7">
        <f t="shared" si="16"/>
        <v>0</v>
      </c>
      <c r="G94" s="3"/>
      <c r="H94" s="8">
        <v>6133</v>
      </c>
      <c r="I94" s="3"/>
      <c r="J94" s="7">
        <f t="shared" si="17"/>
        <v>0</v>
      </c>
      <c r="K94" s="3"/>
      <c r="L94" s="8">
        <f t="shared" si="18"/>
        <v>-133</v>
      </c>
      <c r="M94" s="3"/>
      <c r="N94" s="7">
        <f t="shared" si="19"/>
        <v>-2.1685961193543126E-2</v>
      </c>
      <c r="O94" s="12"/>
      <c r="P94" s="8">
        <v>42000</v>
      </c>
      <c r="Q94" s="3"/>
      <c r="R94" s="7">
        <f t="shared" si="20"/>
        <v>0</v>
      </c>
      <c r="S94" s="3"/>
      <c r="T94" s="8">
        <v>48868</v>
      </c>
      <c r="U94" s="3"/>
      <c r="V94" s="7">
        <f t="shared" si="21"/>
        <v>0</v>
      </c>
      <c r="W94" s="3"/>
      <c r="X94" s="8">
        <f t="shared" si="22"/>
        <v>-6868</v>
      </c>
      <c r="Y94" s="3"/>
      <c r="Z94" s="7">
        <f t="shared" si="23"/>
        <v>-0.14054186788900713</v>
      </c>
    </row>
    <row r="95" spans="1:26" s="64" customFormat="1" ht="15" customHeight="1" x14ac:dyDescent="0.3">
      <c r="A95" s="36"/>
      <c r="B95" s="36"/>
      <c r="C95" s="36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O95" s="3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62" customFormat="1" ht="15" customHeight="1" collapsed="1" x14ac:dyDescent="0.3">
      <c r="A96" s="11"/>
      <c r="B96" s="27" t="s">
        <v>290</v>
      </c>
      <c r="C96" s="11"/>
      <c r="D96" s="5">
        <f>SUM(OSRRefD25x_0)</f>
        <v>56336.75</v>
      </c>
      <c r="E96" s="5"/>
      <c r="F96" s="13">
        <f>IF(D$12=0,0,D96/D$12)</f>
        <v>0</v>
      </c>
      <c r="G96" s="5"/>
      <c r="H96" s="5">
        <f>SUM(OSRRefH25x_0)</f>
        <v>48964.67</v>
      </c>
      <c r="I96" s="5"/>
      <c r="J96" s="13">
        <f>IF(H$12=0,0,H96/H$12)</f>
        <v>0</v>
      </c>
      <c r="K96" s="5"/>
      <c r="L96" s="5">
        <f>+D96-H96</f>
        <v>7372.0800000000017</v>
      </c>
      <c r="M96" s="5"/>
      <c r="N96" s="13">
        <f>IF(H96=0,0,L96/H96)</f>
        <v>0.15055916847800674</v>
      </c>
      <c r="O96" s="11"/>
      <c r="P96" s="5">
        <f>SUM(OSRRefP25x_0)</f>
        <v>204368.44</v>
      </c>
      <c r="Q96" s="5"/>
      <c r="R96" s="13">
        <f>IF(P$12=0,0,P96/P$12)</f>
        <v>0</v>
      </c>
      <c r="S96" s="5"/>
      <c r="T96" s="5">
        <f>SUM(OSRRefT25x_0)</f>
        <v>175268.44</v>
      </c>
      <c r="U96" s="5"/>
      <c r="V96" s="13">
        <f>IF(T$12=0,0,T96/T$12)</f>
        <v>0</v>
      </c>
      <c r="W96" s="5"/>
      <c r="X96" s="5">
        <f>+P96-T96</f>
        <v>29100</v>
      </c>
      <c r="Y96" s="5"/>
      <c r="Z96" s="13">
        <f>IF(T96=0,0,X96/T96)</f>
        <v>0.16603103216985329</v>
      </c>
    </row>
    <row r="97" spans="1:26" s="69" customFormat="1" ht="15" hidden="1" customHeight="1" outlineLevel="1" x14ac:dyDescent="0.3">
      <c r="A97" s="42"/>
      <c r="B97" s="12" t="str">
        <f>CONCATENATE("          ","9150"," - ","MISC. INCOME")</f>
        <v xml:space="preserve">          9150 - MISC. INCOME</v>
      </c>
      <c r="C97" s="12"/>
      <c r="D97" s="3">
        <f>--56336.75</f>
        <v>56336.75</v>
      </c>
      <c r="E97" s="3"/>
      <c r="F97" s="20">
        <f>IF(D$12=0,0,D97/D$12)</f>
        <v>0</v>
      </c>
      <c r="G97" s="3"/>
      <c r="H97" s="3">
        <f>--48964.67</f>
        <v>48964.67</v>
      </c>
      <c r="I97" s="3"/>
      <c r="J97" s="20">
        <f>IF(H$12=0,0,H97/H$12)</f>
        <v>0</v>
      </c>
      <c r="K97" s="3"/>
      <c r="L97" s="3">
        <f>+D97-H97</f>
        <v>7372.0800000000017</v>
      </c>
      <c r="M97" s="3"/>
      <c r="N97" s="20">
        <f>IF(H97=0,0,L97/H97)</f>
        <v>0.15055916847800674</v>
      </c>
      <c r="O97" s="12"/>
      <c r="P97" s="3">
        <f>--204368.44</f>
        <v>204368.44</v>
      </c>
      <c r="Q97" s="3"/>
      <c r="R97" s="20">
        <f>IF(P$12=0,0,P97/P$12)</f>
        <v>0</v>
      </c>
      <c r="S97" s="3"/>
      <c r="T97" s="3">
        <f>--175268.44</f>
        <v>175268.44</v>
      </c>
      <c r="U97" s="3"/>
      <c r="V97" s="20">
        <f>IF(T$12=0,0,T97/T$12)</f>
        <v>0</v>
      </c>
      <c r="W97" s="3"/>
      <c r="X97" s="3">
        <f>+P97-T97</f>
        <v>29100</v>
      </c>
      <c r="Y97" s="3"/>
      <c r="Z97" s="20">
        <f>IF(T97=0,0,X97/T97)</f>
        <v>0.16603103216985329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8" t="s">
        <v>291</v>
      </c>
      <c r="C99" s="28"/>
      <c r="D99" s="23">
        <f>+D17-D19+D96</f>
        <v>-88663.270000000019</v>
      </c>
      <c r="E99" s="15"/>
      <c r="F99" s="22">
        <f>IF(D$12=0,0,D99/D$12)</f>
        <v>0</v>
      </c>
      <c r="G99" s="15"/>
      <c r="H99" s="23">
        <f>+H17-H19+H96</f>
        <v>-74533.719999999958</v>
      </c>
      <c r="I99" s="15"/>
      <c r="J99" s="22">
        <f>IF(H$12=0,0,H99/H$12)</f>
        <v>0</v>
      </c>
      <c r="K99" s="17"/>
      <c r="L99" s="23">
        <f>+D99-H99</f>
        <v>-14129.550000000061</v>
      </c>
      <c r="M99" s="17"/>
      <c r="N99" s="22">
        <f>IF(H99=0,0,L99/H99)</f>
        <v>0.18957258540161512</v>
      </c>
      <c r="O99" s="27"/>
      <c r="P99" s="23">
        <f>+P17-P19+P96</f>
        <v>-953584.40000000037</v>
      </c>
      <c r="Q99" s="15"/>
      <c r="R99" s="22">
        <f>IF(P$12=0,0,P99/P$12)</f>
        <v>0</v>
      </c>
      <c r="S99" s="15"/>
      <c r="T99" s="23">
        <f>+T17-T19+T96</f>
        <v>-824277.4600000002</v>
      </c>
      <c r="U99" s="15"/>
      <c r="V99" s="22">
        <f>IF(T$12=0,0,T99/T$12)</f>
        <v>0</v>
      </c>
      <c r="W99" s="17"/>
      <c r="X99" s="23">
        <f>+P99-T99</f>
        <v>-129306.94000000018</v>
      </c>
      <c r="Y99" s="17"/>
      <c r="Z99" s="22">
        <f>IF(T99=0,0,X99/T99)</f>
        <v>0.15687307523852484</v>
      </c>
    </row>
    <row r="100" spans="1:26" ht="15" customHeight="1" x14ac:dyDescent="0.3">
      <c r="A100" s="10"/>
      <c r="B100" s="11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2" customFormat="1" ht="15" customHeight="1" x14ac:dyDescent="0.3">
      <c r="A101" s="48"/>
      <c r="B101" s="11" t="s">
        <v>292</v>
      </c>
      <c r="C101" s="11"/>
      <c r="D101" s="5"/>
      <c r="E101" s="5"/>
      <c r="F101" s="13">
        <f>IF(D$12=0,0,D101/D$12)</f>
        <v>0</v>
      </c>
      <c r="G101" s="5"/>
      <c r="H101" s="5"/>
      <c r="I101" s="5"/>
      <c r="J101" s="13">
        <f>IF(H$12=0,0,H101/H$12)</f>
        <v>0</v>
      </c>
      <c r="K101" s="5"/>
      <c r="L101" s="5">
        <f>+D101-H101</f>
        <v>0</v>
      </c>
      <c r="M101" s="5"/>
      <c r="N101" s="13">
        <f>IF(H101=0,0,L101/H101)</f>
        <v>0</v>
      </c>
      <c r="O101" s="11"/>
      <c r="P101" s="5"/>
      <c r="Q101" s="5"/>
      <c r="R101" s="13">
        <f>IF(P$12=0,0,P101/P$12)</f>
        <v>0</v>
      </c>
      <c r="S101" s="5"/>
      <c r="T101" s="5"/>
      <c r="U101" s="5"/>
      <c r="V101" s="13">
        <f>IF(T$12=0,0,T101/T$12)</f>
        <v>0</v>
      </c>
      <c r="W101" s="5"/>
      <c r="X101" s="5">
        <f>+P101-T101</f>
        <v>0</v>
      </c>
      <c r="Y101" s="5"/>
      <c r="Z101" s="13">
        <f>IF(T101=0,0,X101/T101)</f>
        <v>0</v>
      </c>
    </row>
    <row r="102" spans="1:26" ht="15" customHeight="1" x14ac:dyDescent="0.3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293</v>
      </c>
      <c r="C103" s="28"/>
      <c r="D103" s="33">
        <f>+D99-D101</f>
        <v>-88663.270000000019</v>
      </c>
      <c r="E103" s="15"/>
      <c r="F103" s="34">
        <f>IF(D$12=0,0,D103/D$12)</f>
        <v>0</v>
      </c>
      <c r="G103" s="15"/>
      <c r="H103" s="33">
        <f>+H99-H101</f>
        <v>-74533.719999999958</v>
      </c>
      <c r="I103" s="15"/>
      <c r="J103" s="34">
        <f>IF(H$12=0,0,H103/H$12)</f>
        <v>0</v>
      </c>
      <c r="K103" s="17"/>
      <c r="L103" s="33">
        <f>D103-H103</f>
        <v>-14129.550000000061</v>
      </c>
      <c r="M103" s="17"/>
      <c r="N103" s="34">
        <f>IF(H103=0,0,L103/H103)</f>
        <v>0.18957258540161512</v>
      </c>
      <c r="O103" s="27"/>
      <c r="P103" s="33">
        <f>+P99-P101</f>
        <v>-953584.40000000037</v>
      </c>
      <c r="Q103" s="15"/>
      <c r="R103" s="34">
        <f>IF(P$12=0,0,P103/P$12)</f>
        <v>0</v>
      </c>
      <c r="S103" s="15"/>
      <c r="T103" s="33">
        <f>+T99-T101</f>
        <v>-824277.4600000002</v>
      </c>
      <c r="U103" s="15"/>
      <c r="V103" s="34">
        <f>IF(T$12=0,0,T103/T$12)</f>
        <v>0</v>
      </c>
      <c r="W103" s="17"/>
      <c r="X103" s="33">
        <f>P103-T103</f>
        <v>-129306.94000000018</v>
      </c>
      <c r="Y103" s="17"/>
      <c r="Z103" s="34">
        <f>IF(T103=0,0,X103/T103)</f>
        <v>0.15687307523852484</v>
      </c>
    </row>
    <row r="104" spans="1:26" ht="15" customHeight="1" x14ac:dyDescent="0.3">
      <c r="A104" s="10"/>
      <c r="B104" s="10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2" customFormat="1" ht="15" customHeight="1" x14ac:dyDescent="0.3">
      <c r="A106" s="11"/>
      <c r="B106" s="28" t="s">
        <v>296</v>
      </c>
      <c r="C106" s="28"/>
      <c r="D106" s="35">
        <f>SUM(D103:D105)</f>
        <v>-88663.270000000019</v>
      </c>
      <c r="E106" s="15"/>
      <c r="F106" s="29">
        <f>IF(D$12=0,0,D106/D$12)</f>
        <v>0</v>
      </c>
      <c r="G106" s="15"/>
      <c r="H106" s="35">
        <f>SUM(H103:H105)</f>
        <v>-74533.719999999958</v>
      </c>
      <c r="I106" s="15"/>
      <c r="J106" s="29">
        <f>IF(H$12=0,0,H106/H$12)</f>
        <v>0</v>
      </c>
      <c r="K106" s="17"/>
      <c r="L106" s="35">
        <f>+D106-H106</f>
        <v>-14129.550000000061</v>
      </c>
      <c r="M106" s="17"/>
      <c r="N106" s="29">
        <f>IF(H106=0,0,L106/H106)</f>
        <v>0.18957258540161512</v>
      </c>
      <c r="O106" s="27"/>
      <c r="P106" s="35">
        <f>SUM(P103:P105)</f>
        <v>-953584.40000000037</v>
      </c>
      <c r="Q106" s="15"/>
      <c r="R106" s="29">
        <f>IF(P$12=0,0,P106/P$12)</f>
        <v>0</v>
      </c>
      <c r="S106" s="15"/>
      <c r="T106" s="35">
        <f>SUM(T103:T105)</f>
        <v>-824277.4600000002</v>
      </c>
      <c r="U106" s="15"/>
      <c r="V106" s="29">
        <f>IF(T$12=0,0,T106/T$12)</f>
        <v>0</v>
      </c>
      <c r="W106" s="17"/>
      <c r="X106" s="35">
        <f>+P106-T106</f>
        <v>-129306.94000000018</v>
      </c>
      <c r="Y106" s="17"/>
      <c r="Z106" s="29">
        <f>IF(T106=0,0,X106/T106)</f>
        <v>0.15687307523852484</v>
      </c>
    </row>
    <row r="107" spans="1:26" ht="15" customHeight="1" x14ac:dyDescent="0.3">
      <c r="A107" s="10"/>
      <c r="C107" s="10"/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  <row r="108" spans="1:26" ht="15" customHeight="1" x14ac:dyDescent="0.3">
      <c r="A108" s="10"/>
      <c r="B108" s="50">
        <v>44634.887810300927</v>
      </c>
      <c r="D108" s="18"/>
      <c r="E108" s="18"/>
      <c r="G108" s="18"/>
      <c r="H108" s="18"/>
      <c r="I108" s="18"/>
      <c r="J108" s="41"/>
      <c r="K108" s="18"/>
      <c r="L108" s="18"/>
      <c r="M108" s="18"/>
      <c r="P108" s="18"/>
      <c r="Q108" s="18"/>
      <c r="R108" s="41"/>
      <c r="S108" s="18"/>
      <c r="T108" s="18"/>
      <c r="U108" s="18"/>
      <c r="V108" s="41"/>
      <c r="W108" s="18"/>
      <c r="X108" s="18"/>
    </row>
    <row r="109" spans="1:26" ht="15" customHeight="1" x14ac:dyDescent="0.3">
      <c r="A109" s="10"/>
      <c r="B109" s="58" t="s">
        <v>297</v>
      </c>
      <c r="D109" s="18"/>
      <c r="E109" s="18"/>
      <c r="G109" s="18"/>
      <c r="H109" s="18"/>
      <c r="I109" s="18"/>
      <c r="J109" s="41"/>
      <c r="K109" s="18"/>
      <c r="L109" s="18"/>
      <c r="M109" s="18"/>
      <c r="P109" s="18"/>
      <c r="Q109" s="18"/>
      <c r="R109" s="41"/>
      <c r="S109" s="18"/>
      <c r="T109" s="18"/>
      <c r="U109" s="18"/>
      <c r="V109" s="41"/>
      <c r="W109" s="18"/>
      <c r="X109" s="18"/>
    </row>
    <row r="110" spans="1:26" ht="15" customHeight="1" x14ac:dyDescent="0.3">
      <c r="A110" s="10"/>
      <c r="B110" s="56"/>
      <c r="D110" s="18"/>
      <c r="E110" s="18"/>
      <c r="G110" s="18"/>
      <c r="H110" s="18"/>
      <c r="I110" s="18"/>
      <c r="J110" s="41"/>
      <c r="K110" s="18"/>
      <c r="L110" s="18"/>
      <c r="M110" s="18"/>
      <c r="P110" s="18"/>
      <c r="Q110" s="18"/>
      <c r="R110" s="41"/>
      <c r="S110" s="18"/>
      <c r="T110" s="18"/>
      <c r="U110" s="18"/>
      <c r="V110" s="41"/>
      <c r="W110" s="18"/>
      <c r="X110" s="18"/>
    </row>
    <row r="111" spans="1:26" ht="15" customHeight="1" x14ac:dyDescent="0.3">
      <c r="D111" s="18"/>
      <c r="E111" s="18"/>
      <c r="G111" s="18"/>
      <c r="H111" s="18"/>
      <c r="I111" s="18"/>
      <c r="J111" s="41"/>
      <c r="K111" s="18"/>
      <c r="L111" s="18"/>
      <c r="M111" s="18"/>
      <c r="P111" s="18"/>
      <c r="Q111" s="18"/>
      <c r="R111" s="41"/>
      <c r="S111" s="18"/>
      <c r="T111" s="18"/>
      <c r="U111" s="18"/>
      <c r="V111" s="41"/>
      <c r="W111" s="18"/>
      <c r="X111" s="18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F316-9172-B057-CC71-17C20CFF8024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","306"," - ","Warehouse")</f>
        <v>Department 306 - Warehouse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0</v>
      </c>
      <c r="E18" s="21"/>
      <c r="F18" s="30">
        <f t="shared" ref="F18:F34" si="0">IF(D$12=0,0,D18/D$12)</f>
        <v>0</v>
      </c>
      <c r="G18" s="21"/>
      <c r="H18" s="21" cm="1">
        <f t="array" ref="H18">SUM(OSRRefH22x_0)</f>
        <v>0</v>
      </c>
      <c r="I18" s="21"/>
      <c r="J18" s="30">
        <f t="shared" ref="J18:J34" si="1">IF(H$12=0,0,H18/H$12)</f>
        <v>0</v>
      </c>
      <c r="K18" s="5"/>
      <c r="L18" s="21">
        <f t="shared" ref="L18:L34" si="2">+D18-H18</f>
        <v>0</v>
      </c>
      <c r="M18" s="5"/>
      <c r="N18" s="30">
        <f t="shared" ref="N18:N34" si="3">IF(H18=0,0,L18/H18)</f>
        <v>0</v>
      </c>
      <c r="O18" s="11"/>
      <c r="P18" s="21" cm="1">
        <f t="array" ref="P18">SUM(OSRRefP22x_0)</f>
        <v>0</v>
      </c>
      <c r="Q18" s="21"/>
      <c r="R18" s="30">
        <f t="shared" ref="R18:R34" si="4">IF(P$12=0,0,P18/P$12)</f>
        <v>0</v>
      </c>
      <c r="S18" s="21"/>
      <c r="T18" s="21" cm="1">
        <f t="array" ref="T18">SUM(OSRRefT22x_0)</f>
        <v>0.37000000000004318</v>
      </c>
      <c r="U18" s="21"/>
      <c r="V18" s="30">
        <f t="shared" ref="V18:V34" si="5">IF(T$12=0,0,T18/T$12)</f>
        <v>0</v>
      </c>
      <c r="W18" s="5"/>
      <c r="X18" s="21">
        <f t="shared" ref="X18:X34" si="6">+P18-T18</f>
        <v>-0.37000000000004318</v>
      </c>
      <c r="Y18" s="5"/>
      <c r="Z18" s="30">
        <f t="shared" ref="Z18:Z34" si="7">IF(T18=0,0,X18/T18)</f>
        <v>-1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0.1400000000000432</v>
      </c>
      <c r="U19" s="2"/>
      <c r="V19" s="6">
        <f t="shared" si="5"/>
        <v>0</v>
      </c>
      <c r="W19" s="2"/>
      <c r="X19" s="2">
        <f t="shared" si="6"/>
        <v>-0.1400000000000432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402.04</v>
      </c>
      <c r="U20" s="3"/>
      <c r="V20" s="7">
        <f t="shared" si="5"/>
        <v>0</v>
      </c>
      <c r="W20" s="3"/>
      <c r="X20" s="8">
        <f t="shared" si="6"/>
        <v>-402.04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","6113"," - ","GROUP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0</v>
      </c>
      <c r="U21" s="3"/>
      <c r="V21" s="7">
        <f t="shared" si="5"/>
        <v>0</v>
      </c>
      <c r="W21" s="3"/>
      <c r="X21" s="8">
        <f t="shared" si="6"/>
        <v>0</v>
      </c>
      <c r="Y21" s="3"/>
      <c r="Z21" s="7">
        <f t="shared" si="7"/>
        <v>0</v>
      </c>
    </row>
    <row r="22" spans="1:26" s="69" customFormat="1" ht="15" hidden="1" customHeight="1" outlineLevel="2" x14ac:dyDescent="0.3">
      <c r="A22" s="26"/>
      <c r="B22" s="12" t="str">
        <f>CONCATENATE("          ","6115"," - ","P.E.R.S.")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","6116"," - ","EDUCATIONAL BENEFITS")</f>
        <v xml:space="preserve">          6116 - EDUCATIONAL BENEFITS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-401.9</v>
      </c>
      <c r="U23" s="3"/>
      <c r="V23" s="7">
        <f t="shared" si="5"/>
        <v>0</v>
      </c>
      <c r="W23" s="3"/>
      <c r="X23" s="8">
        <f t="shared" si="6"/>
        <v>401.9</v>
      </c>
      <c r="Y23" s="3"/>
      <c r="Z23" s="7">
        <f t="shared" si="7"/>
        <v>-1</v>
      </c>
    </row>
    <row r="24" spans="1:26" s="68" customFormat="1" ht="15" customHeight="1" outlineLevel="1" collapsed="1" x14ac:dyDescent="0.3">
      <c r="A24" s="25"/>
      <c r="B24" s="14" t="str">
        <f>CONCATENATE("     ","*Payroll                                          ")</f>
        <v xml:space="preserve">     *Payroll                                          </v>
      </c>
      <c r="C24" s="14"/>
      <c r="D24" s="2">
        <f>SUM(OSRRefD22_1x_0)</f>
        <v>0</v>
      </c>
      <c r="E24" s="2"/>
      <c r="F24" s="6">
        <f t="shared" si="0"/>
        <v>0</v>
      </c>
      <c r="G24" s="2"/>
      <c r="H24" s="2">
        <f>SUM(OSRRefH22_1x_0)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SUM(OSRRefP22_1x_0)</f>
        <v>0</v>
      </c>
      <c r="Q24" s="2"/>
      <c r="R24" s="6">
        <f t="shared" si="4"/>
        <v>0</v>
      </c>
      <c r="S24" s="2"/>
      <c r="T24" s="2">
        <f>SUM(OSRRefT22_1x_0)</f>
        <v>0.23</v>
      </c>
      <c r="U24" s="2"/>
      <c r="V24" s="6">
        <f t="shared" si="5"/>
        <v>0</v>
      </c>
      <c r="W24" s="2"/>
      <c r="X24" s="2">
        <f t="shared" si="6"/>
        <v>-0.23</v>
      </c>
      <c r="Y24" s="2"/>
      <c r="Z24" s="6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","6004"," - ","STAFF HOURLY")</f>
        <v xml:space="preserve">          6004 - STAFF HOURLY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0.23</v>
      </c>
      <c r="U25" s="3"/>
      <c r="V25" s="7">
        <f t="shared" si="5"/>
        <v>0</v>
      </c>
      <c r="W25" s="3"/>
      <c r="X25" s="8">
        <f t="shared" si="6"/>
        <v>-0.23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","6005"," - ","TEMPORARY WAGES-HOURLY")</f>
        <v xml:space="preserve">          6005 - TEMPORARY WAGES-HOURLY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68" customFormat="1" ht="15" customHeight="1" outlineLevel="1" collapsed="1" x14ac:dyDescent="0.3">
      <c r="A27" s="25"/>
      <c r="B27" s="14" t="str">
        <f>CONCATENATE("     ","Equipment Rental                                  ")</f>
        <v xml:space="preserve">     Equipment Rental                                  </v>
      </c>
      <c r="C27" s="14"/>
      <c r="D27" s="2">
        <f>SUM(OSRRefD22_2x_0)</f>
        <v>0</v>
      </c>
      <c r="E27" s="2"/>
      <c r="F27" s="6">
        <f t="shared" si="0"/>
        <v>0</v>
      </c>
      <c r="G27" s="2"/>
      <c r="H27" s="2">
        <f>SUM(OSRRefH22_2x_0)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0</v>
      </c>
      <c r="Q27" s="2"/>
      <c r="R27" s="6">
        <f t="shared" si="4"/>
        <v>0</v>
      </c>
      <c r="S27" s="2"/>
      <c r="T27" s="2">
        <f>SUM(OSRRefT22_2x_0)</f>
        <v>0</v>
      </c>
      <c r="U27" s="2"/>
      <c r="V27" s="6">
        <f t="shared" si="5"/>
        <v>0</v>
      </c>
      <c r="W27" s="2"/>
      <c r="X27" s="2">
        <f t="shared" si="6"/>
        <v>0</v>
      </c>
      <c r="Y27" s="2"/>
      <c r="Z27" s="6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","6351"," - ","EQUIPMENT RENTAL")</f>
        <v xml:space="preserve">          6351 - EQUIPMENT RENTAL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0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","Freight out/Postage                               ")</f>
        <v xml:space="preserve">     Freight out/Postage   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0</v>
      </c>
      <c r="Q29" s="2"/>
      <c r="R29" s="6">
        <f t="shared" si="4"/>
        <v>0</v>
      </c>
      <c r="S29" s="2"/>
      <c r="T29" s="2">
        <f>SUM(OSRRefT22_3x_0)</f>
        <v>0</v>
      </c>
      <c r="U29" s="2"/>
      <c r="V29" s="6">
        <f t="shared" si="5"/>
        <v>0</v>
      </c>
      <c r="W29" s="2"/>
      <c r="X29" s="2">
        <f t="shared" si="6"/>
        <v>0</v>
      </c>
      <c r="Y29" s="2"/>
      <c r="Z29" s="6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","6307"," - ","POSTAGE")</f>
        <v xml:space="preserve">          6307 - POSTAGE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","Repair and Maintenance                            ")</f>
        <v xml:space="preserve">     Repair and Maintenance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0</v>
      </c>
      <c r="Q31" s="2"/>
      <c r="R31" s="6">
        <f t="shared" si="4"/>
        <v>0</v>
      </c>
      <c r="S31" s="2"/>
      <c r="T31" s="2">
        <f>SUM(OSRRefT22_4x_0)</f>
        <v>0</v>
      </c>
      <c r="U31" s="2"/>
      <c r="V31" s="6">
        <f t="shared" si="5"/>
        <v>0</v>
      </c>
      <c r="W31" s="2"/>
      <c r="X31" s="2">
        <f t="shared" si="6"/>
        <v>0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","6373"," - ","MAINTENANCE CONTRACTS")</f>
        <v xml:space="preserve">          6373 - MAINTENANCE CONTRACTS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0</v>
      </c>
      <c r="U33" s="2"/>
      <c r="V33" s="6">
        <f t="shared" si="5"/>
        <v>0</v>
      </c>
      <c r="W33" s="2"/>
      <c r="X33" s="2">
        <f t="shared" si="6"/>
        <v>0</v>
      </c>
      <c r="Y33" s="2"/>
      <c r="Z33" s="6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","6309"," - ","TELEPHONE")</f>
        <v xml:space="preserve">          6309 - TELEPHONE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64" customFormat="1" ht="15" customHeight="1" x14ac:dyDescent="0.3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3">
      <c r="A36" s="11"/>
      <c r="B36" s="27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3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3">
      <c r="A38" s="11"/>
      <c r="B38" s="28" t="s">
        <v>291</v>
      </c>
      <c r="C38" s="28"/>
      <c r="D38" s="23">
        <f>+D16-D18+D36</f>
        <v>0</v>
      </c>
      <c r="E38" s="15"/>
      <c r="F38" s="22">
        <f>IF(D$12=0,0,D38/D$12)</f>
        <v>0</v>
      </c>
      <c r="G38" s="15"/>
      <c r="H38" s="23">
        <f>+H16-H18+H36</f>
        <v>0</v>
      </c>
      <c r="I38" s="15"/>
      <c r="J38" s="22">
        <f>IF(H$12=0,0,H38/H$12)</f>
        <v>0</v>
      </c>
      <c r="K38" s="17"/>
      <c r="L38" s="23">
        <f>+D38-H38</f>
        <v>0</v>
      </c>
      <c r="M38" s="17"/>
      <c r="N38" s="22">
        <f>IF(H38=0,0,L38/H38)</f>
        <v>0</v>
      </c>
      <c r="O38" s="27"/>
      <c r="P38" s="23">
        <f>+P16-P18+P36</f>
        <v>0</v>
      </c>
      <c r="Q38" s="15"/>
      <c r="R38" s="22">
        <f>IF(P$12=0,0,P38/P$12)</f>
        <v>0</v>
      </c>
      <c r="S38" s="15"/>
      <c r="T38" s="23">
        <f>+T16-T18+T36</f>
        <v>-0.37000000000004318</v>
      </c>
      <c r="U38" s="15"/>
      <c r="V38" s="22">
        <f>IF(T$12=0,0,T38/T$12)</f>
        <v>0</v>
      </c>
      <c r="W38" s="17"/>
      <c r="X38" s="23">
        <f>+P38-T38</f>
        <v>0.37000000000004318</v>
      </c>
      <c r="Y38" s="17"/>
      <c r="Z38" s="22">
        <f>IF(T38=0,0,X38/T38)</f>
        <v>-1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48"/>
      <c r="B40" s="11" t="s">
        <v>292</v>
      </c>
      <c r="C40" s="11"/>
      <c r="D40" s="5"/>
      <c r="E40" s="5"/>
      <c r="F40" s="13">
        <f>IF(D$12=0,0,D40/D$12)</f>
        <v>0</v>
      </c>
      <c r="G40" s="5"/>
      <c r="H40" s="5"/>
      <c r="I40" s="5"/>
      <c r="J40" s="13">
        <f>IF(H$12=0,0,H40/H$12)</f>
        <v>0</v>
      </c>
      <c r="K40" s="5"/>
      <c r="L40" s="5">
        <f>+D40-H40</f>
        <v>0</v>
      </c>
      <c r="M40" s="5"/>
      <c r="N40" s="13">
        <f>IF(H40=0,0,L40/H40)</f>
        <v>0</v>
      </c>
      <c r="O40" s="11"/>
      <c r="P40" s="5"/>
      <c r="Q40" s="5"/>
      <c r="R40" s="13">
        <f>IF(P$12=0,0,P40/P$12)</f>
        <v>0</v>
      </c>
      <c r="S40" s="5"/>
      <c r="T40" s="5"/>
      <c r="U40" s="5"/>
      <c r="V40" s="13">
        <f>IF(T$12=0,0,T40/T$12)</f>
        <v>0</v>
      </c>
      <c r="W40" s="5"/>
      <c r="X40" s="5">
        <f>+P40-T40</f>
        <v>0</v>
      </c>
      <c r="Y40" s="5"/>
      <c r="Z40" s="13">
        <f>IF(T40=0,0,X40/T40)</f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8" t="s">
        <v>293</v>
      </c>
      <c r="C42" s="28"/>
      <c r="D42" s="33">
        <f>+D38-D40</f>
        <v>0</v>
      </c>
      <c r="E42" s="15"/>
      <c r="F42" s="34">
        <f>IF(D$12=0,0,D42/D$12)</f>
        <v>0</v>
      </c>
      <c r="G42" s="15"/>
      <c r="H42" s="33">
        <f>+H38-H40</f>
        <v>0</v>
      </c>
      <c r="I42" s="15"/>
      <c r="J42" s="34">
        <f>IF(H$12=0,0,H42/H$12)</f>
        <v>0</v>
      </c>
      <c r="K42" s="17"/>
      <c r="L42" s="33">
        <f>D42-H42</f>
        <v>0</v>
      </c>
      <c r="M42" s="17"/>
      <c r="N42" s="34">
        <f>IF(H42=0,0,L42/H42)</f>
        <v>0</v>
      </c>
      <c r="O42" s="27"/>
      <c r="P42" s="33">
        <f>+P38-P40</f>
        <v>0</v>
      </c>
      <c r="Q42" s="15"/>
      <c r="R42" s="34">
        <f>IF(P$12=0,0,P42/P$12)</f>
        <v>0</v>
      </c>
      <c r="S42" s="15"/>
      <c r="T42" s="33">
        <f>+T38-T40</f>
        <v>-0.37000000000004318</v>
      </c>
      <c r="U42" s="15"/>
      <c r="V42" s="34">
        <f>IF(T$12=0,0,T42/T$12)</f>
        <v>0</v>
      </c>
      <c r="W42" s="17"/>
      <c r="X42" s="33">
        <f>P42-T42</f>
        <v>0.37000000000004318</v>
      </c>
      <c r="Y42" s="17"/>
      <c r="Z42" s="34">
        <f>IF(T42=0,0,X42/T42)</f>
        <v>-1</v>
      </c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3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3">
      <c r="A45" s="11"/>
      <c r="B45" s="28" t="s">
        <v>296</v>
      </c>
      <c r="C45" s="28"/>
      <c r="D45" s="35">
        <f>SUM(D42:D44)</f>
        <v>0</v>
      </c>
      <c r="E45" s="15"/>
      <c r="F45" s="29">
        <f>IF(D$12=0,0,D45/D$12)</f>
        <v>0</v>
      </c>
      <c r="G45" s="15"/>
      <c r="H45" s="35">
        <f>SUM(H42:H44)</f>
        <v>0</v>
      </c>
      <c r="I45" s="15"/>
      <c r="J45" s="29">
        <f>IF(H$12=0,0,H45/H$12)</f>
        <v>0</v>
      </c>
      <c r="K45" s="17"/>
      <c r="L45" s="35">
        <f>+D45-H45</f>
        <v>0</v>
      </c>
      <c r="M45" s="17"/>
      <c r="N45" s="29">
        <f>IF(H45=0,0,L45/H45)</f>
        <v>0</v>
      </c>
      <c r="O45" s="27"/>
      <c r="P45" s="35">
        <f>SUM(P42:P44)</f>
        <v>0</v>
      </c>
      <c r="Q45" s="15"/>
      <c r="R45" s="29">
        <f>IF(P$12=0,0,P45/P$12)</f>
        <v>0</v>
      </c>
      <c r="S45" s="15"/>
      <c r="T45" s="35">
        <f>SUM(T42:T44)</f>
        <v>-0.37000000000004318</v>
      </c>
      <c r="U45" s="15"/>
      <c r="V45" s="29">
        <f>IF(T$12=0,0,T45/T$12)</f>
        <v>0</v>
      </c>
      <c r="W45" s="17"/>
      <c r="X45" s="35">
        <f>+P45-T45</f>
        <v>0.37000000000004318</v>
      </c>
      <c r="Y45" s="17"/>
      <c r="Z45" s="29">
        <f>IF(T45=0,0,X45/T45)</f>
        <v>-1</v>
      </c>
    </row>
    <row r="46" spans="1:26" ht="15" customHeight="1" x14ac:dyDescent="0.3">
      <c r="A46" s="10"/>
      <c r="C46" s="10"/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3">
      <c r="A47" s="10"/>
      <c r="B47" s="50">
        <v>44634.887810300927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3">
      <c r="A48" s="10"/>
      <c r="B48" s="58" t="s">
        <v>297</v>
      </c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1:24" ht="15" customHeight="1" x14ac:dyDescent="0.3">
      <c r="A49" s="10"/>
      <c r="B49" s="56"/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  <row r="50" spans="1:24" ht="15" customHeight="1" x14ac:dyDescent="0.3">
      <c r="D50" s="18"/>
      <c r="E50" s="18"/>
      <c r="G50" s="18"/>
      <c r="H50" s="18"/>
      <c r="I50" s="18"/>
      <c r="J50" s="41"/>
      <c r="K50" s="18"/>
      <c r="L50" s="18"/>
      <c r="M50" s="18"/>
      <c r="P50" s="18"/>
      <c r="Q50" s="18"/>
      <c r="R50" s="41"/>
      <c r="S50" s="18"/>
      <c r="T50" s="18"/>
      <c r="U50" s="18"/>
      <c r="V50" s="41"/>
      <c r="W50" s="18"/>
      <c r="X50" s="18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3836A-8C43-6867-AEFC-E877ABC7CA1D}">
  <sheetPr>
    <tabColor rgb="FFFFFF00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305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178511.89</v>
      </c>
      <c r="E12" s="5"/>
      <c r="F12" s="13"/>
      <c r="G12" s="5"/>
      <c r="H12" s="5">
        <f>SUM(OSRRefH13x_0)</f>
        <v>78083.129999999976</v>
      </c>
      <c r="I12" s="5"/>
      <c r="J12" s="13"/>
      <c r="K12" s="5"/>
      <c r="L12" s="5">
        <f t="shared" ref="L12:L37" si="0">+D12-H12</f>
        <v>100428.76000000004</v>
      </c>
      <c r="M12" s="5"/>
      <c r="N12" s="13">
        <f t="shared" ref="N12:N37" si="1">IF(H12=0,0,L12/H12)</f>
        <v>1.2861774367907648</v>
      </c>
      <c r="O12" s="11"/>
      <c r="P12" s="5">
        <f>SUM(OSRRefP13x_0)</f>
        <v>2128469.83</v>
      </c>
      <c r="Q12" s="5"/>
      <c r="R12" s="13"/>
      <c r="S12" s="5"/>
      <c r="T12" s="5">
        <f>SUM(OSRRefT13x_0)</f>
        <v>2638990.4499999997</v>
      </c>
      <c r="U12" s="5"/>
      <c r="V12" s="13"/>
      <c r="W12" s="5"/>
      <c r="X12" s="5">
        <f t="shared" ref="X12:X37" si="2">+P12-T12</f>
        <v>-510520.61999999965</v>
      </c>
      <c r="Y12" s="5"/>
      <c r="Z12" s="13">
        <f t="shared" ref="Z12:Z37" si="3">IF(T12=0,0,X12/T12)</f>
        <v>-0.19345300018042874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--136556.17</f>
        <v>136556.17000000001</v>
      </c>
      <c r="E13" s="3"/>
      <c r="F13" s="20"/>
      <c r="G13" s="3"/>
      <c r="H13" s="3">
        <f>-296.28</f>
        <v>-296.27999999999997</v>
      </c>
      <c r="I13" s="3"/>
      <c r="J13" s="20"/>
      <c r="K13" s="3"/>
      <c r="L13" s="3">
        <f t="shared" si="0"/>
        <v>136852.45000000001</v>
      </c>
      <c r="M13" s="3"/>
      <c r="N13" s="20">
        <f t="shared" si="1"/>
        <v>-461.90242338328619</v>
      </c>
      <c r="O13" s="12"/>
      <c r="P13" s="3">
        <f>--1600518.83</f>
        <v>1600518.83</v>
      </c>
      <c r="Q13" s="3"/>
      <c r="R13" s="20"/>
      <c r="S13" s="3"/>
      <c r="T13" s="3">
        <f>-8057.31</f>
        <v>-8057.31</v>
      </c>
      <c r="U13" s="3"/>
      <c r="V13" s="20"/>
      <c r="W13" s="3"/>
      <c r="X13" s="3">
        <f t="shared" si="2"/>
        <v>1608576.1400000001</v>
      </c>
      <c r="Y13" s="3"/>
      <c r="Z13" s="20">
        <f t="shared" si="3"/>
        <v>-199.64183331657836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--34627.67</f>
        <v>34627.67</v>
      </c>
      <c r="I14" s="3"/>
      <c r="J14" s="20"/>
      <c r="K14" s="3"/>
      <c r="L14" s="3">
        <f t="shared" si="0"/>
        <v>-34627.67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--1224724.01</f>
        <v>1224724.01</v>
      </c>
      <c r="U14" s="3"/>
      <c r="V14" s="20"/>
      <c r="W14" s="3"/>
      <c r="X14" s="3">
        <f t="shared" si="2"/>
        <v>-1224724.01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--12732.98</f>
        <v>12732.98</v>
      </c>
      <c r="I15" s="3"/>
      <c r="J15" s="20"/>
      <c r="K15" s="3"/>
      <c r="L15" s="3">
        <f t="shared" si="0"/>
        <v>-12732.98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--575134.48</f>
        <v>575134.48</v>
      </c>
      <c r="U15" s="3"/>
      <c r="V15" s="20"/>
      <c r="W15" s="3"/>
      <c r="X15" s="3">
        <f t="shared" si="2"/>
        <v>-575134.48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--53283.48</f>
        <v>53283.48</v>
      </c>
      <c r="E21" s="3"/>
      <c r="F21" s="20"/>
      <c r="G21" s="3"/>
      <c r="H21" s="3">
        <f>--5617.7</f>
        <v>5617.7</v>
      </c>
      <c r="I21" s="3"/>
      <c r="J21" s="20"/>
      <c r="K21" s="3"/>
      <c r="L21" s="3">
        <f t="shared" si="0"/>
        <v>47665.780000000006</v>
      </c>
      <c r="M21" s="3"/>
      <c r="N21" s="20">
        <f t="shared" si="1"/>
        <v>8.4849279954429768</v>
      </c>
      <c r="O21" s="12"/>
      <c r="P21" s="3">
        <f>--615345.2</f>
        <v>615345.19999999995</v>
      </c>
      <c r="Q21" s="3"/>
      <c r="R21" s="20"/>
      <c r="S21" s="3"/>
      <c r="T21" s="3">
        <f>--284173.56</f>
        <v>284173.56</v>
      </c>
      <c r="U21" s="3"/>
      <c r="V21" s="20"/>
      <c r="W21" s="3"/>
      <c r="X21" s="3">
        <f t="shared" si="2"/>
        <v>331171.63999999996</v>
      </c>
      <c r="Y21" s="3"/>
      <c r="Z21" s="20">
        <f t="shared" si="3"/>
        <v>1.1653851259068577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--6785.91</f>
        <v>6785.91</v>
      </c>
      <c r="I22" s="3"/>
      <c r="J22" s="20"/>
      <c r="K22" s="3"/>
      <c r="L22" s="3">
        <f t="shared" si="0"/>
        <v>-6785.91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--111011.54</f>
        <v>111011.54</v>
      </c>
      <c r="U22" s="3"/>
      <c r="V22" s="20"/>
      <c r="W22" s="3"/>
      <c r="X22" s="3">
        <f t="shared" si="2"/>
        <v>-111011.54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--3426.05</f>
        <v>3426.05</v>
      </c>
      <c r="I23" s="3"/>
      <c r="J23" s="20"/>
      <c r="K23" s="3"/>
      <c r="L23" s="3">
        <f t="shared" si="0"/>
        <v>-3426.05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--46387.37</f>
        <v>46387.37</v>
      </c>
      <c r="U23" s="3"/>
      <c r="V23" s="20"/>
      <c r="W23" s="3"/>
      <c r="X23" s="3">
        <f t="shared" si="2"/>
        <v>-46387.37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--17705.92</f>
        <v>17705.919999999998</v>
      </c>
      <c r="I25" s="3"/>
      <c r="J25" s="20"/>
      <c r="K25" s="3"/>
      <c r="L25" s="3">
        <f t="shared" si="0"/>
        <v>-17705.919999999998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--475874.05</f>
        <v>475874.05</v>
      </c>
      <c r="U25" s="3"/>
      <c r="V25" s="20"/>
      <c r="W25" s="3"/>
      <c r="X25" s="3">
        <f t="shared" si="2"/>
        <v>-475874.05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--3150</f>
        <v>3150</v>
      </c>
      <c r="I26" s="3"/>
      <c r="J26" s="20"/>
      <c r="K26" s="3"/>
      <c r="L26" s="3">
        <f t="shared" si="0"/>
        <v>-3150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--10139.25</f>
        <v>10139.25</v>
      </c>
      <c r="U26" s="3"/>
      <c r="V26" s="20"/>
      <c r="W26" s="3"/>
      <c r="X26" s="3">
        <f t="shared" si="2"/>
        <v>-10139.25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-4194.35</f>
        <v>-4194.3500000000004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-4194.3500000000004</v>
      </c>
      <c r="M28" s="3"/>
      <c r="N28" s="20">
        <f t="shared" si="1"/>
        <v>0</v>
      </c>
      <c r="O28" s="12"/>
      <c r="P28" s="3">
        <f>-50832.81</f>
        <v>-50832.81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-50832.81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-2146.49</f>
        <v>-2146.4899999999998</v>
      </c>
      <c r="I29" s="3"/>
      <c r="J29" s="20"/>
      <c r="K29" s="3"/>
      <c r="L29" s="3">
        <f t="shared" si="0"/>
        <v>2146.4899999999998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-50664.23</f>
        <v>-50664.23</v>
      </c>
      <c r="U29" s="3"/>
      <c r="V29" s="20"/>
      <c r="W29" s="3"/>
      <c r="X29" s="3">
        <f t="shared" si="2"/>
        <v>50664.23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-1199.21</f>
        <v>-1199.21</v>
      </c>
      <c r="I30" s="3"/>
      <c r="J30" s="20"/>
      <c r="K30" s="3"/>
      <c r="L30" s="3">
        <f t="shared" si="0"/>
        <v>1199.21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-19735.51</f>
        <v>-19735.509999999998</v>
      </c>
      <c r="U30" s="3"/>
      <c r="V30" s="20"/>
      <c r="W30" s="3"/>
      <c r="X30" s="3">
        <f t="shared" si="2"/>
        <v>19735.509999999998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-132.25</f>
        <v>-132.25</v>
      </c>
      <c r="I31" s="3"/>
      <c r="J31" s="20"/>
      <c r="K31" s="3"/>
      <c r="L31" s="3">
        <f t="shared" si="0"/>
        <v>132.25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-69.93</f>
        <v>-69.930000000000007</v>
      </c>
      <c r="I32" s="3"/>
      <c r="J32" s="20"/>
      <c r="K32" s="3"/>
      <c r="L32" s="3">
        <f t="shared" si="0"/>
        <v>69.930000000000007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","4300"," - ","NON-TAX RETURNS")</f>
        <v xml:space="preserve">          4300 - NON-TAX RETURNS</v>
      </c>
      <c r="C33" s="12"/>
      <c r="D33" s="3">
        <f>-2947.38</f>
        <v>-2947.38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-2947.38</v>
      </c>
      <c r="M33" s="3"/>
      <c r="N33" s="20">
        <f t="shared" si="1"/>
        <v>0</v>
      </c>
      <c r="O33" s="12"/>
      <c r="P33" s="3">
        <f>-29348.67</f>
        <v>-29348.67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-29348.67</v>
      </c>
      <c r="Y33" s="3"/>
      <c r="Z33" s="20">
        <f t="shared" si="3"/>
        <v>0</v>
      </c>
    </row>
    <row r="34" spans="1:26" s="69" customFormat="1" ht="15" hidden="1" customHeight="1" outlineLevel="1" x14ac:dyDescent="0.3">
      <c r="A34" s="42"/>
      <c r="B34" s="12" t="str">
        <f>CONCATENATE("          ","4301"," - ","SALES RETURN NON TAXABLE-NEW T")</f>
        <v xml:space="preserve">          4301 - SALES RETURN NON TAXABLE-NEW T</v>
      </c>
      <c r="C34" s="12"/>
      <c r="D34" s="3">
        <f>0</f>
        <v>0</v>
      </c>
      <c r="E34" s="3"/>
      <c r="F34" s="20"/>
      <c r="G34" s="3"/>
      <c r="H34" s="3">
        <f>-231.5</f>
        <v>-231.5</v>
      </c>
      <c r="I34" s="3"/>
      <c r="J34" s="20"/>
      <c r="K34" s="3"/>
      <c r="L34" s="3">
        <f t="shared" si="0"/>
        <v>231.5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-3237.29</f>
        <v>-3237.29</v>
      </c>
      <c r="U34" s="3"/>
      <c r="V34" s="20"/>
      <c r="W34" s="3"/>
      <c r="X34" s="3">
        <f t="shared" si="2"/>
        <v>3237.29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","4302"," - ","SALES RETURN NON TAXABLE-TEXT")</f>
        <v xml:space="preserve">          4302 - SALES RETURN NON TAXABLE-TEXT</v>
      </c>
      <c r="C35" s="12"/>
      <c r="D35" s="3">
        <f>0</f>
        <v>0</v>
      </c>
      <c r="E35" s="3"/>
      <c r="F35" s="20"/>
      <c r="G35" s="3"/>
      <c r="H35" s="3">
        <f>-70.32</f>
        <v>-70.319999999999993</v>
      </c>
      <c r="I35" s="3"/>
      <c r="J35" s="20"/>
      <c r="K35" s="3"/>
      <c r="L35" s="3">
        <f t="shared" si="0"/>
        <v>70.319999999999993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-2073.48</f>
        <v>-2073.48</v>
      </c>
      <c r="U35" s="3"/>
      <c r="V35" s="20"/>
      <c r="W35" s="3"/>
      <c r="X35" s="3">
        <f t="shared" si="2"/>
        <v>2073.48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","4304"," - ","SALES RETURN NON TAXABLE-DIGIT")</f>
        <v xml:space="preserve">          4304 - SALES RETURN NON TAXABLE-DIGIT</v>
      </c>
      <c r="C36" s="12"/>
      <c r="D36" s="3">
        <f>0</f>
        <v>0</v>
      </c>
      <c r="E36" s="3"/>
      <c r="F36" s="20"/>
      <c r="G36" s="3"/>
      <c r="H36" s="3">
        <f>-2172.95</f>
        <v>-2172.9499999999998</v>
      </c>
      <c r="I36" s="3"/>
      <c r="J36" s="20"/>
      <c r="K36" s="3"/>
      <c r="L36" s="3">
        <f t="shared" si="0"/>
        <v>2172.9499999999998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-27268.72</f>
        <v>-27268.720000000001</v>
      </c>
      <c r="U36" s="3"/>
      <c r="V36" s="20"/>
      <c r="W36" s="3"/>
      <c r="X36" s="3">
        <f t="shared" si="2"/>
        <v>27268.720000000001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","4500"," - ","SALES DISCOUNT")</f>
        <v xml:space="preserve">          4500 - SALES DISCOUNT</v>
      </c>
      <c r="C37" s="12"/>
      <c r="D37" s="3">
        <f>-4186.03</f>
        <v>-4186.03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-4186.03</v>
      </c>
      <c r="M37" s="3"/>
      <c r="N37" s="20">
        <f t="shared" si="1"/>
        <v>0</v>
      </c>
      <c r="O37" s="12"/>
      <c r="P37" s="3">
        <f>-7212.72</f>
        <v>-7212.72</v>
      </c>
      <c r="Q37" s="3"/>
      <c r="R37" s="20"/>
      <c r="S37" s="3"/>
      <c r="T37" s="3">
        <f>0</f>
        <v>0</v>
      </c>
      <c r="U37" s="3"/>
      <c r="V37" s="20"/>
      <c r="W37" s="3"/>
      <c r="X37" s="3">
        <f t="shared" si="2"/>
        <v>-7212.72</v>
      </c>
      <c r="Y37" s="3"/>
      <c r="Z37" s="20">
        <f t="shared" si="3"/>
        <v>0</v>
      </c>
    </row>
    <row r="38" spans="1:26" ht="15" customHeight="1" x14ac:dyDescent="0.3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collapsed="1" x14ac:dyDescent="0.3">
      <c r="A39" s="11"/>
      <c r="B39" s="27" t="s">
        <v>287</v>
      </c>
      <c r="C39" s="11"/>
      <c r="D39" s="5">
        <f>SUM(OSRRefD16x_0)</f>
        <v>131634.45000000001</v>
      </c>
      <c r="E39" s="5"/>
      <c r="F39" s="13">
        <f t="shared" ref="F39:F56" si="4">IF(D$12=0,0,D39/D$12)</f>
        <v>0.73739878055181651</v>
      </c>
      <c r="G39" s="5"/>
      <c r="H39" s="5">
        <f>SUM(OSRRefH16x_0)</f>
        <v>53931.379999999983</v>
      </c>
      <c r="I39" s="5"/>
      <c r="J39" s="13">
        <f t="shared" ref="J39:J56" si="5">IF(H$12=0,0,H39/H$12)</f>
        <v>0.69069183061693351</v>
      </c>
      <c r="K39" s="5"/>
      <c r="L39" s="5">
        <f t="shared" ref="L39:L56" si="6">+D39-H39</f>
        <v>77703.070000000036</v>
      </c>
      <c r="M39" s="5"/>
      <c r="N39" s="13">
        <f t="shared" ref="N39:N56" si="7">IF(H39=0,0,L39/H39)</f>
        <v>1.4407765942573705</v>
      </c>
      <c r="O39" s="11"/>
      <c r="P39" s="5">
        <f>SUM(OSRRefP16x_0)</f>
        <v>1637976.4000000001</v>
      </c>
      <c r="Q39" s="5"/>
      <c r="R39" s="13">
        <f t="shared" ref="R39:R56" si="8">IF(P$12=0,0,P39/P$12)</f>
        <v>0.76955584566589796</v>
      </c>
      <c r="S39" s="5"/>
      <c r="T39" s="5">
        <f>SUM(OSRRefT16x_0)</f>
        <v>1863507.35</v>
      </c>
      <c r="U39" s="5"/>
      <c r="V39" s="13">
        <f t="shared" ref="V39:V56" si="9">IF(T$12=0,0,T39/T$12)</f>
        <v>0.70614402943367993</v>
      </c>
      <c r="W39" s="5"/>
      <c r="X39" s="5">
        <f t="shared" ref="X39:X56" si="10">+P39-T39</f>
        <v>-225530.94999999995</v>
      </c>
      <c r="Y39" s="5"/>
      <c r="Z39" s="13">
        <f t="shared" ref="Z39:Z56" si="11">IF(T39=0,0,X39/T39)</f>
        <v>-0.12102498549308106</v>
      </c>
    </row>
    <row r="40" spans="1:26" s="69" customFormat="1" ht="15" hidden="1" customHeight="1" outlineLevel="1" x14ac:dyDescent="0.3">
      <c r="A40" s="42"/>
      <c r="B40" s="12" t="str">
        <f>CONCATENATE("          ","5000"," - ","PURCHASES @ COST")</f>
        <v xml:space="preserve">          5000 - PURCHASES @ COST</v>
      </c>
      <c r="C40" s="12"/>
      <c r="D40" s="3">
        <v>179806.3</v>
      </c>
      <c r="E40" s="3"/>
      <c r="F40" s="20">
        <f t="shared" si="4"/>
        <v>1.0072511136373044</v>
      </c>
      <c r="G40" s="3"/>
      <c r="H40" s="3"/>
      <c r="I40" s="3"/>
      <c r="J40" s="20">
        <f t="shared" si="5"/>
        <v>0</v>
      </c>
      <c r="K40" s="3"/>
      <c r="L40" s="3">
        <f t="shared" si="6"/>
        <v>179806.3</v>
      </c>
      <c r="M40" s="3"/>
      <c r="N40" s="20">
        <f t="shared" si="7"/>
        <v>0</v>
      </c>
      <c r="O40" s="12"/>
      <c r="P40" s="3">
        <v>1881949.04</v>
      </c>
      <c r="Q40" s="3"/>
      <c r="R40" s="20">
        <f t="shared" si="8"/>
        <v>0.88417933553702288</v>
      </c>
      <c r="S40" s="3"/>
      <c r="T40" s="3">
        <v>0</v>
      </c>
      <c r="U40" s="3"/>
      <c r="V40" s="20">
        <f t="shared" si="9"/>
        <v>0</v>
      </c>
      <c r="W40" s="3"/>
      <c r="X40" s="3">
        <f t="shared" si="10"/>
        <v>1881949.04</v>
      </c>
      <c r="Y40" s="3"/>
      <c r="Z40" s="20">
        <f t="shared" si="11"/>
        <v>0</v>
      </c>
    </row>
    <row r="41" spans="1:26" s="69" customFormat="1" ht="15" hidden="1" customHeight="1" outlineLevel="1" x14ac:dyDescent="0.3">
      <c r="A41" s="42"/>
      <c r="B41" s="12" t="str">
        <f>CONCATENATE("          ","5001"," - ","PURCHASES @ COST-NEW TEXT")</f>
        <v xml:space="preserve">          5001 - PURCHASES @ COST-NEW TEXT</v>
      </c>
      <c r="C41" s="12"/>
      <c r="D41" s="3"/>
      <c r="E41" s="3"/>
      <c r="F41" s="20">
        <f t="shared" si="4"/>
        <v>0</v>
      </c>
      <c r="G41" s="3"/>
      <c r="H41" s="3">
        <v>-332593.57</v>
      </c>
      <c r="I41" s="3"/>
      <c r="J41" s="20">
        <f t="shared" si="5"/>
        <v>-4.2594805049438991</v>
      </c>
      <c r="K41" s="3"/>
      <c r="L41" s="3">
        <f t="shared" si="6"/>
        <v>332593.57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1326415.6399999999</v>
      </c>
      <c r="U41" s="3"/>
      <c r="V41" s="20">
        <f t="shared" si="9"/>
        <v>0.50262237212718974</v>
      </c>
      <c r="W41" s="3"/>
      <c r="X41" s="3">
        <f t="shared" si="10"/>
        <v>-1326415.6399999999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","5002"," - ","PURCHASES @ COST-USED TEXT")</f>
        <v xml:space="preserve">          5002 - PURCHASES @ COST-USED TEXT</v>
      </c>
      <c r="C42" s="12"/>
      <c r="D42" s="3"/>
      <c r="E42" s="3"/>
      <c r="F42" s="20">
        <f t="shared" si="4"/>
        <v>0</v>
      </c>
      <c r="G42" s="3"/>
      <c r="H42" s="3">
        <v>121987.94</v>
      </c>
      <c r="I42" s="3"/>
      <c r="J42" s="20">
        <f t="shared" si="5"/>
        <v>1.562282915656686</v>
      </c>
      <c r="K42" s="3"/>
      <c r="L42" s="3">
        <f t="shared" si="6"/>
        <v>-121987.94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382324.22</v>
      </c>
      <c r="U42" s="3"/>
      <c r="V42" s="20">
        <f t="shared" si="9"/>
        <v>0.14487518134065244</v>
      </c>
      <c r="W42" s="3"/>
      <c r="X42" s="3">
        <f t="shared" si="10"/>
        <v>-382324.22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","5003"," - ","PURCHASES @ COST-RENTAL TEXT")</f>
        <v xml:space="preserve">          5003 - PURCHASES @ COST-RENTAL TEXT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/>
      <c r="Q43" s="3"/>
      <c r="R43" s="20">
        <f t="shared" si="8"/>
        <v>0</v>
      </c>
      <c r="S43" s="3"/>
      <c r="T43" s="3">
        <v>32.520000000000003</v>
      </c>
      <c r="U43" s="3"/>
      <c r="V43" s="20">
        <f t="shared" si="9"/>
        <v>1.2322894158256619E-5</v>
      </c>
      <c r="W43" s="3"/>
      <c r="X43" s="3">
        <f t="shared" si="10"/>
        <v>-32.520000000000003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","5004"," - ","PURCHASES @ COST-DIGITAL TEXT")</f>
        <v xml:space="preserve">          5004 - PURCHASES @ COST-DIGITAL TEXT</v>
      </c>
      <c r="C44" s="12"/>
      <c r="D44" s="3"/>
      <c r="E44" s="3"/>
      <c r="F44" s="20">
        <f t="shared" si="4"/>
        <v>0</v>
      </c>
      <c r="G44" s="3"/>
      <c r="H44" s="3">
        <v>3282.02</v>
      </c>
      <c r="I44" s="3"/>
      <c r="J44" s="20">
        <f t="shared" si="5"/>
        <v>4.2032382667037051E-2</v>
      </c>
      <c r="K44" s="3"/>
      <c r="L44" s="3">
        <f t="shared" si="6"/>
        <v>-3282.02</v>
      </c>
      <c r="M44" s="3"/>
      <c r="N44" s="20">
        <f t="shared" si="7"/>
        <v>-1</v>
      </c>
      <c r="O44" s="12"/>
      <c r="P44" s="3">
        <v>0</v>
      </c>
      <c r="Q44" s="3"/>
      <c r="R44" s="20">
        <f t="shared" si="8"/>
        <v>0</v>
      </c>
      <c r="S44" s="3"/>
      <c r="T44" s="3">
        <v>220008.58</v>
      </c>
      <c r="U44" s="3"/>
      <c r="V44" s="20">
        <f t="shared" si="9"/>
        <v>8.336846387602502E-2</v>
      </c>
      <c r="W44" s="3"/>
      <c r="X44" s="3">
        <f t="shared" si="10"/>
        <v>-220008.58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","5011"," - ","PURCHASES @ COST-NO VALUE TEXT")</f>
        <v xml:space="preserve">          5011 - PURCHASES @ COST-NO VALUE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67.17</v>
      </c>
      <c r="U45" s="3"/>
      <c r="V45" s="20">
        <f t="shared" si="9"/>
        <v>2.5452915147911962E-5</v>
      </c>
      <c r="W45" s="3"/>
      <c r="X45" s="3">
        <f t="shared" si="10"/>
        <v>-67.17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","5013"," - ","PURCHASES @ COST-TRADE BOOKS")</f>
        <v xml:space="preserve">          5013 - PURCHASES @ COST-TRADE BOOKS</v>
      </c>
      <c r="C46" s="12"/>
      <c r="D46" s="3"/>
      <c r="E46" s="3"/>
      <c r="F46" s="20">
        <f t="shared" si="4"/>
        <v>0</v>
      </c>
      <c r="G46" s="3"/>
      <c r="H46" s="3">
        <v>305.11</v>
      </c>
      <c r="I46" s="3"/>
      <c r="J46" s="20">
        <f t="shared" si="5"/>
        <v>3.9075021710835633E-3</v>
      </c>
      <c r="K46" s="3"/>
      <c r="L46" s="3">
        <f t="shared" si="6"/>
        <v>-305.11</v>
      </c>
      <c r="M46" s="3"/>
      <c r="N46" s="20">
        <f t="shared" si="7"/>
        <v>-1</v>
      </c>
      <c r="O46" s="12"/>
      <c r="P46" s="3"/>
      <c r="Q46" s="3"/>
      <c r="R46" s="20">
        <f t="shared" si="8"/>
        <v>0</v>
      </c>
      <c r="S46" s="3"/>
      <c r="T46" s="3">
        <v>5962.09</v>
      </c>
      <c r="U46" s="3"/>
      <c r="V46" s="20">
        <f t="shared" si="9"/>
        <v>2.2592313662976693E-3</v>
      </c>
      <c r="W46" s="3"/>
      <c r="X46" s="3">
        <f t="shared" si="10"/>
        <v>-5962.09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","5014"," - ","PURCHASES @ COST-REMAINDERS")</f>
        <v xml:space="preserve">          5014 - PURCHASES @ COST-REMAINDERS</v>
      </c>
      <c r="C47" s="12"/>
      <c r="D47" s="3"/>
      <c r="E47" s="3"/>
      <c r="F47" s="20">
        <f t="shared" si="4"/>
        <v>0</v>
      </c>
      <c r="G47" s="3"/>
      <c r="H47" s="3">
        <v>21.16</v>
      </c>
      <c r="I47" s="3"/>
      <c r="J47" s="20">
        <f t="shared" si="5"/>
        <v>2.7099323503040933E-4</v>
      </c>
      <c r="K47" s="3"/>
      <c r="L47" s="3">
        <f t="shared" si="6"/>
        <v>-21.16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111.57</v>
      </c>
      <c r="U47" s="3"/>
      <c r="V47" s="20">
        <f t="shared" si="9"/>
        <v>4.2277530788336124E-5</v>
      </c>
      <c r="W47" s="3"/>
      <c r="X47" s="3">
        <f t="shared" si="10"/>
        <v>-111.57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","5018"," - ","PURCHASES @ COST-STUDY GUIDES")</f>
        <v xml:space="preserve">          5018 - PURCHASES @ COST-STUDY GUIDES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522.34</v>
      </c>
      <c r="U48" s="3"/>
      <c r="V48" s="20">
        <f t="shared" si="9"/>
        <v>1.9793175075718826E-4</v>
      </c>
      <c r="W48" s="3"/>
      <c r="X48" s="3">
        <f t="shared" si="10"/>
        <v>-522.34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","5200"," - ","PURCHASES OFFSET")</f>
        <v xml:space="preserve">          5200 - PURCHASES OFFSET</v>
      </c>
      <c r="C49" s="12"/>
      <c r="D49" s="3">
        <v>-166938.59</v>
      </c>
      <c r="E49" s="3"/>
      <c r="F49" s="20">
        <f t="shared" si="4"/>
        <v>-0.93516790394186056</v>
      </c>
      <c r="G49" s="3"/>
      <c r="H49" s="3">
        <v>212842.2</v>
      </c>
      <c r="I49" s="3"/>
      <c r="J49" s="20">
        <f t="shared" si="5"/>
        <v>2.7258410363416536</v>
      </c>
      <c r="K49" s="3"/>
      <c r="L49" s="3">
        <f t="shared" si="6"/>
        <v>-379780.79000000004</v>
      </c>
      <c r="M49" s="3"/>
      <c r="N49" s="20">
        <f t="shared" si="7"/>
        <v>-1.7843303160745378</v>
      </c>
      <c r="O49" s="12"/>
      <c r="P49" s="3">
        <v>-1629298.2</v>
      </c>
      <c r="Q49" s="3"/>
      <c r="R49" s="20">
        <f t="shared" si="8"/>
        <v>-0.76547864434611224</v>
      </c>
      <c r="S49" s="3"/>
      <c r="T49" s="3">
        <v>-1459800.9</v>
      </c>
      <c r="U49" s="3"/>
      <c r="V49" s="20">
        <f t="shared" si="9"/>
        <v>-0.55316642013615469</v>
      </c>
      <c r="W49" s="3"/>
      <c r="X49" s="3">
        <f t="shared" si="10"/>
        <v>-169497.30000000005</v>
      </c>
      <c r="Y49" s="3"/>
      <c r="Z49" s="20">
        <f t="shared" si="11"/>
        <v>0.11610987498363651</v>
      </c>
    </row>
    <row r="50" spans="1:26" s="69" customFormat="1" ht="15" hidden="1" customHeight="1" outlineLevel="1" x14ac:dyDescent="0.3">
      <c r="A50" s="42"/>
      <c r="B50" s="12" t="str">
        <f>CONCATENATE("          ","5300"," - ","COG$ OFFSET")</f>
        <v xml:space="preserve">          5300 - COG$ OFFSET</v>
      </c>
      <c r="C50" s="12"/>
      <c r="D50" s="3">
        <v>96980.38</v>
      </c>
      <c r="E50" s="3"/>
      <c r="F50" s="20">
        <f t="shared" si="4"/>
        <v>0.54327126333153497</v>
      </c>
      <c r="G50" s="3"/>
      <c r="H50" s="3">
        <v>41957</v>
      </c>
      <c r="I50" s="3"/>
      <c r="J50" s="20">
        <f t="shared" si="5"/>
        <v>0.53733757855249931</v>
      </c>
      <c r="K50" s="3"/>
      <c r="L50" s="3">
        <f t="shared" si="6"/>
        <v>55023.380000000005</v>
      </c>
      <c r="M50" s="3"/>
      <c r="N50" s="20">
        <f t="shared" si="7"/>
        <v>1.311423123674238</v>
      </c>
      <c r="O50" s="12"/>
      <c r="P50" s="3">
        <v>1314870.55</v>
      </c>
      <c r="Q50" s="3"/>
      <c r="R50" s="20">
        <f t="shared" si="8"/>
        <v>0.61775390539597175</v>
      </c>
      <c r="S50" s="3"/>
      <c r="T50" s="3">
        <v>1321408</v>
      </c>
      <c r="U50" s="3"/>
      <c r="V50" s="20">
        <f t="shared" si="9"/>
        <v>0.5007248131572436</v>
      </c>
      <c r="W50" s="3"/>
      <c r="X50" s="3">
        <f t="shared" si="10"/>
        <v>-6537.4499999999534</v>
      </c>
      <c r="Y50" s="3"/>
      <c r="Z50" s="20">
        <f t="shared" si="11"/>
        <v>-4.9473364774543166E-3</v>
      </c>
    </row>
    <row r="51" spans="1:26" s="69" customFormat="1" ht="15" hidden="1" customHeight="1" outlineLevel="1" x14ac:dyDescent="0.3">
      <c r="A51" s="42"/>
      <c r="B51" s="12" t="str">
        <f>CONCATENATE("          ","5500"," - ","FREIGHT-IN")</f>
        <v xml:space="preserve">          5500 - FREIGHT-IN</v>
      </c>
      <c r="C51" s="12"/>
      <c r="D51" s="3">
        <v>21786.36</v>
      </c>
      <c r="E51" s="3"/>
      <c r="F51" s="20">
        <f t="shared" si="4"/>
        <v>0.12204430752483769</v>
      </c>
      <c r="G51" s="3"/>
      <c r="H51" s="3">
        <v>0</v>
      </c>
      <c r="I51" s="3"/>
      <c r="J51" s="20">
        <f t="shared" si="5"/>
        <v>0</v>
      </c>
      <c r="K51" s="3"/>
      <c r="L51" s="3">
        <f t="shared" si="6"/>
        <v>21786.36</v>
      </c>
      <c r="M51" s="3"/>
      <c r="N51" s="20">
        <f t="shared" si="7"/>
        <v>0</v>
      </c>
      <c r="O51" s="12"/>
      <c r="P51" s="3">
        <v>70455.009999999995</v>
      </c>
      <c r="Q51" s="3"/>
      <c r="R51" s="20">
        <f t="shared" si="8"/>
        <v>3.3101249079015599E-2</v>
      </c>
      <c r="S51" s="3"/>
      <c r="T51" s="3">
        <v>0</v>
      </c>
      <c r="U51" s="3"/>
      <c r="V51" s="20">
        <f t="shared" si="9"/>
        <v>0</v>
      </c>
      <c r="W51" s="3"/>
      <c r="X51" s="3">
        <f t="shared" si="10"/>
        <v>70455.009999999995</v>
      </c>
      <c r="Y51" s="3"/>
      <c r="Z51" s="20">
        <f t="shared" si="11"/>
        <v>0</v>
      </c>
    </row>
    <row r="52" spans="1:26" s="69" customFormat="1" ht="15" hidden="1" customHeight="1" outlineLevel="1" x14ac:dyDescent="0.3">
      <c r="A52" s="42"/>
      <c r="B52" s="12" t="str">
        <f>CONCATENATE("          ","5501"," - ","FREIGHT-IN-NEW TEXT")</f>
        <v xml:space="preserve">          5501 - FREIGHT-IN-NEW TEXT</v>
      </c>
      <c r="C52" s="12"/>
      <c r="D52" s="3"/>
      <c r="E52" s="3"/>
      <c r="F52" s="20">
        <f t="shared" si="4"/>
        <v>0</v>
      </c>
      <c r="G52" s="3"/>
      <c r="H52" s="3">
        <v>4638.13</v>
      </c>
      <c r="I52" s="3"/>
      <c r="J52" s="20">
        <f t="shared" si="5"/>
        <v>5.9399898544026108E-2</v>
      </c>
      <c r="K52" s="3"/>
      <c r="L52" s="3">
        <f t="shared" si="6"/>
        <v>-4638.13</v>
      </c>
      <c r="M52" s="3"/>
      <c r="N52" s="20">
        <f t="shared" si="7"/>
        <v>-1</v>
      </c>
      <c r="O52" s="12"/>
      <c r="P52" s="3">
        <v>0</v>
      </c>
      <c r="Q52" s="3"/>
      <c r="R52" s="20">
        <f t="shared" si="8"/>
        <v>0</v>
      </c>
      <c r="S52" s="3"/>
      <c r="T52" s="3">
        <v>49256.92</v>
      </c>
      <c r="U52" s="3"/>
      <c r="V52" s="20">
        <f t="shared" si="9"/>
        <v>1.8665061861061302E-2</v>
      </c>
      <c r="W52" s="3"/>
      <c r="X52" s="3">
        <f t="shared" si="10"/>
        <v>-49256.92</v>
      </c>
      <c r="Y52" s="3"/>
      <c r="Z52" s="20">
        <f t="shared" si="11"/>
        <v>-1</v>
      </c>
    </row>
    <row r="53" spans="1:26" s="69" customFormat="1" ht="15" hidden="1" customHeight="1" outlineLevel="1" x14ac:dyDescent="0.3">
      <c r="A53" s="42"/>
      <c r="B53" s="12" t="str">
        <f>CONCATENATE("          ","5502"," - ","FREIGHT-IN-USED TEXT")</f>
        <v xml:space="preserve">          5502 - FREIGHT-IN-USED TEXT</v>
      </c>
      <c r="C53" s="12"/>
      <c r="D53" s="3"/>
      <c r="E53" s="3"/>
      <c r="F53" s="20">
        <f t="shared" si="4"/>
        <v>0</v>
      </c>
      <c r="G53" s="3"/>
      <c r="H53" s="3">
        <v>1484.45</v>
      </c>
      <c r="I53" s="3"/>
      <c r="J53" s="20">
        <f t="shared" si="5"/>
        <v>1.901114875902132E-2</v>
      </c>
      <c r="K53" s="3"/>
      <c r="L53" s="3">
        <f t="shared" si="6"/>
        <v>-1484.45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17136.759999999998</v>
      </c>
      <c r="U53" s="3"/>
      <c r="V53" s="20">
        <f t="shared" si="9"/>
        <v>6.4936801874368281E-3</v>
      </c>
      <c r="W53" s="3"/>
      <c r="X53" s="3">
        <f t="shared" si="10"/>
        <v>-17136.759999999998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","5504"," - ","FREIGHT-IN-DIGITAL TEXT")</f>
        <v xml:space="preserve">          5504 - FREIGHT-IN-DIGITAL TEXT</v>
      </c>
      <c r="C54" s="12"/>
      <c r="D54" s="3"/>
      <c r="E54" s="3"/>
      <c r="F54" s="20">
        <f t="shared" si="4"/>
        <v>0</v>
      </c>
      <c r="G54" s="3"/>
      <c r="H54" s="3">
        <v>6.94</v>
      </c>
      <c r="I54" s="3"/>
      <c r="J54" s="20">
        <f t="shared" si="5"/>
        <v>8.8879633795417814E-5</v>
      </c>
      <c r="K54" s="3"/>
      <c r="L54" s="3">
        <f t="shared" si="6"/>
        <v>-6.94</v>
      </c>
      <c r="M54" s="3"/>
      <c r="N54" s="20">
        <f t="shared" si="7"/>
        <v>-1</v>
      </c>
      <c r="O54" s="12"/>
      <c r="P54" s="3"/>
      <c r="Q54" s="3"/>
      <c r="R54" s="20">
        <f t="shared" si="8"/>
        <v>0</v>
      </c>
      <c r="S54" s="3"/>
      <c r="T54" s="3">
        <v>28.92</v>
      </c>
      <c r="U54" s="3"/>
      <c r="V54" s="20">
        <f t="shared" si="9"/>
        <v>1.0958736133357363E-5</v>
      </c>
      <c r="W54" s="3"/>
      <c r="X54" s="3">
        <f t="shared" si="10"/>
        <v>-28.92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","5513"," - ","FREIGHT-IN-TRADE BOOKS")</f>
        <v xml:space="preserve">          5513 - FREIGHT-IN-TRADE BOOKS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33.520000000000003</v>
      </c>
      <c r="U55" s="3"/>
      <c r="V55" s="20">
        <f t="shared" si="9"/>
        <v>1.2701826942950857E-5</v>
      </c>
      <c r="W55" s="3"/>
      <c r="X55" s="3">
        <f t="shared" si="10"/>
        <v>-33.520000000000003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","5518"," - ","FREIGHT-IN-STUDY GUIDES")</f>
        <v xml:space="preserve">          5518 - FREIGHT-IN-STUDY GUIDES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ht="15" customHeight="1" x14ac:dyDescent="0.3">
      <c r="A57" s="10"/>
      <c r="B57" s="11"/>
      <c r="C57" s="11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O57" s="11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3">
      <c r="A58" s="11"/>
      <c r="B58" s="28" t="s">
        <v>288</v>
      </c>
      <c r="C58" s="28"/>
      <c r="D58" s="23">
        <f>D12-D39</f>
        <v>46877.440000000002</v>
      </c>
      <c r="E58" s="15"/>
      <c r="F58" s="22">
        <f>IF(D$12=0,0,D58/D$12)</f>
        <v>0.26260121944818354</v>
      </c>
      <c r="G58" s="15"/>
      <c r="H58" s="23">
        <f>H12-H39</f>
        <v>24151.749999999993</v>
      </c>
      <c r="I58" s="15"/>
      <c r="J58" s="22">
        <f>IF(H$12=0,0,H58/H$12)</f>
        <v>0.30930816938306649</v>
      </c>
      <c r="K58" s="17"/>
      <c r="L58" s="23">
        <f>+D58-H58</f>
        <v>22725.69000000001</v>
      </c>
      <c r="M58" s="17"/>
      <c r="N58" s="22">
        <f>IF(H58=0,0,L58/H58)</f>
        <v>0.94095417516329116</v>
      </c>
      <c r="O58" s="27"/>
      <c r="P58" s="23">
        <f>P12-P39</f>
        <v>490493.42999999993</v>
      </c>
      <c r="Q58" s="15"/>
      <c r="R58" s="22">
        <f>IF(P$12=0,0,P58/P$12)</f>
        <v>0.23044415433410204</v>
      </c>
      <c r="S58" s="15"/>
      <c r="T58" s="23">
        <f>T12-T39</f>
        <v>775483.09999999963</v>
      </c>
      <c r="U58" s="15"/>
      <c r="V58" s="22">
        <f>IF(T$12=0,0,T58/T$12)</f>
        <v>0.29385597056632007</v>
      </c>
      <c r="W58" s="17"/>
      <c r="X58" s="23">
        <f>+P58-T58</f>
        <v>-284989.66999999969</v>
      </c>
      <c r="Y58" s="17"/>
      <c r="Z58" s="22">
        <f>IF(T58=0,0,X58/T58)</f>
        <v>-0.36749952384520029</v>
      </c>
    </row>
    <row r="59" spans="1:26" ht="15" customHeight="1" x14ac:dyDescent="0.3">
      <c r="A59" s="10"/>
      <c r="B59" s="11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3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62" customFormat="1" ht="15" customHeight="1" x14ac:dyDescent="0.3">
      <c r="A60" s="11"/>
      <c r="B60" s="27" t="s">
        <v>289</v>
      </c>
      <c r="C60" s="11"/>
      <c r="D60" s="21" cm="1">
        <f t="array" ref="D60">SUM(OSRRefD22x_0)</f>
        <v>29171.58</v>
      </c>
      <c r="E60" s="21"/>
      <c r="F60" s="30">
        <f t="shared" ref="F60:F91" si="12">IF(D$12=0,0,D60/D$12)</f>
        <v>0.16341533328676314</v>
      </c>
      <c r="G60" s="21"/>
      <c r="H60" s="21" cm="1">
        <f t="array" ref="H60">SUM(OSRRefH22x_0)</f>
        <v>39269.65</v>
      </c>
      <c r="I60" s="21"/>
      <c r="J60" s="30">
        <f t="shared" ref="J60:J91" si="13">IF(H$12=0,0,H60/H$12)</f>
        <v>0.50292105349772753</v>
      </c>
      <c r="K60" s="5"/>
      <c r="L60" s="21">
        <f t="shared" ref="L60:L91" si="14">+D60-H60</f>
        <v>-10098.07</v>
      </c>
      <c r="M60" s="5"/>
      <c r="N60" s="30">
        <f t="shared" ref="N60:N91" si="15">IF(H60=0,0,L60/H60)</f>
        <v>-0.25714693153618634</v>
      </c>
      <c r="O60" s="11"/>
      <c r="P60" s="21" cm="1">
        <f t="array" ref="P60">SUM(OSRRefP22x_0)</f>
        <v>361432.13999999996</v>
      </c>
      <c r="Q60" s="21"/>
      <c r="R60" s="30">
        <f t="shared" ref="R60:R91" si="16">IF(P$12=0,0,P60/P$12)</f>
        <v>0.16980843933315229</v>
      </c>
      <c r="S60" s="21"/>
      <c r="T60" s="21" cm="1">
        <f t="array" ref="T60">SUM(OSRRefT22x_0)</f>
        <v>362260.23999999993</v>
      </c>
      <c r="U60" s="21"/>
      <c r="V60" s="30">
        <f t="shared" ref="V60:V91" si="17">IF(T$12=0,0,T60/T$12)</f>
        <v>0.13727228152720294</v>
      </c>
      <c r="W60" s="5"/>
      <c r="X60" s="21">
        <f t="shared" ref="X60:X91" si="18">+P60-T60</f>
        <v>-828.09999999997672</v>
      </c>
      <c r="Y60" s="5"/>
      <c r="Z60" s="30">
        <f t="shared" ref="Z60:Z91" si="19">IF(T60=0,0,X60/T60)</f>
        <v>-2.2859257201396899E-3</v>
      </c>
    </row>
    <row r="61" spans="1:26" s="68" customFormat="1" ht="15" customHeight="1" outlineLevel="1" collapsed="1" x14ac:dyDescent="0.3">
      <c r="A61" s="25"/>
      <c r="B61" s="14" t="str">
        <f>CONCATENATE("     ","*Benefits                                         ")</f>
        <v xml:space="preserve">     *Benefits                                         </v>
      </c>
      <c r="C61" s="14"/>
      <c r="D61" s="2">
        <f>SUM(OSRRefD22_0x_0)</f>
        <v>-12457.830000000002</v>
      </c>
      <c r="E61" s="2"/>
      <c r="F61" s="6">
        <f t="shared" si="12"/>
        <v>-6.978711614111531E-2</v>
      </c>
      <c r="G61" s="2"/>
      <c r="H61" s="2">
        <f>SUM(OSRRefH22_0x_0)</f>
        <v>11929.13</v>
      </c>
      <c r="I61" s="2"/>
      <c r="J61" s="6">
        <f t="shared" si="13"/>
        <v>0.15277474148385192</v>
      </c>
      <c r="K61" s="2"/>
      <c r="L61" s="2">
        <f t="shared" si="14"/>
        <v>-24386.959999999999</v>
      </c>
      <c r="M61" s="2"/>
      <c r="N61" s="6">
        <f t="shared" si="15"/>
        <v>-2.0443200803411483</v>
      </c>
      <c r="O61" s="14"/>
      <c r="P61" s="2">
        <f>SUM(OSRRefP22_0x_0)</f>
        <v>80694.249999999985</v>
      </c>
      <c r="Q61" s="2"/>
      <c r="R61" s="6">
        <f t="shared" si="16"/>
        <v>3.791185990172103E-2</v>
      </c>
      <c r="S61" s="2"/>
      <c r="T61" s="2">
        <f>SUM(OSRRefT22_0x_0)</f>
        <v>93726.34</v>
      </c>
      <c r="U61" s="2"/>
      <c r="V61" s="6">
        <f t="shared" si="17"/>
        <v>3.551598301539894E-2</v>
      </c>
      <c r="W61" s="2"/>
      <c r="X61" s="2">
        <f t="shared" si="18"/>
        <v>-13032.090000000011</v>
      </c>
      <c r="Y61" s="2"/>
      <c r="Z61" s="6">
        <f t="shared" si="19"/>
        <v>-0.13904405101063386</v>
      </c>
    </row>
    <row r="62" spans="1:26" s="69" customFormat="1" ht="15" hidden="1" customHeight="1" outlineLevel="2" x14ac:dyDescent="0.3">
      <c r="A62" s="26"/>
      <c r="B62" s="12" t="str">
        <f>CONCATENATE("          ","6111"," - ","F.I.C.A.")</f>
        <v xml:space="preserve">          6111 - F.I.C.A.</v>
      </c>
      <c r="C62" s="12"/>
      <c r="D62" s="8">
        <v>2953.98</v>
      </c>
      <c r="E62" s="3"/>
      <c r="F62" s="7">
        <f t="shared" si="12"/>
        <v>1.6547805303052922E-2</v>
      </c>
      <c r="G62" s="3"/>
      <c r="H62" s="8">
        <v>1875.59</v>
      </c>
      <c r="I62" s="3"/>
      <c r="J62" s="7">
        <f t="shared" si="13"/>
        <v>2.4020425410712924E-2</v>
      </c>
      <c r="K62" s="3"/>
      <c r="L62" s="8">
        <f t="shared" si="14"/>
        <v>1078.3900000000001</v>
      </c>
      <c r="M62" s="3"/>
      <c r="N62" s="7">
        <f t="shared" si="15"/>
        <v>0.57496041245688034</v>
      </c>
      <c r="O62" s="12"/>
      <c r="P62" s="8">
        <v>17804.66</v>
      </c>
      <c r="Q62" s="3"/>
      <c r="R62" s="7">
        <f t="shared" si="16"/>
        <v>8.3650046380972197E-3</v>
      </c>
      <c r="S62" s="3"/>
      <c r="T62" s="8">
        <v>17001.2</v>
      </c>
      <c r="U62" s="3"/>
      <c r="V62" s="7">
        <f t="shared" si="17"/>
        <v>6.4423120591436782E-3</v>
      </c>
      <c r="W62" s="3"/>
      <c r="X62" s="8">
        <f t="shared" si="18"/>
        <v>803.45999999999913</v>
      </c>
      <c r="Y62" s="3"/>
      <c r="Z62" s="7">
        <f t="shared" si="19"/>
        <v>4.7259017010563904E-2</v>
      </c>
    </row>
    <row r="63" spans="1:26" s="69" customFormat="1" ht="15" hidden="1" customHeight="1" outlineLevel="2" x14ac:dyDescent="0.3">
      <c r="A63" s="26"/>
      <c r="B63" s="12" t="str">
        <f>CONCATENATE("          ","6112"," - ","COMPENSATION INSURANCE")</f>
        <v xml:space="preserve">          6112 - COMPENSATION INSURANCE</v>
      </c>
      <c r="C63" s="12"/>
      <c r="D63" s="8">
        <v>533.20000000000005</v>
      </c>
      <c r="E63" s="3"/>
      <c r="F63" s="7">
        <f t="shared" si="12"/>
        <v>2.9869158855468955E-3</v>
      </c>
      <c r="G63" s="3"/>
      <c r="H63" s="8">
        <v>86.99</v>
      </c>
      <c r="I63" s="3"/>
      <c r="J63" s="7">
        <f t="shared" si="13"/>
        <v>1.1140690697209502E-3</v>
      </c>
      <c r="K63" s="3"/>
      <c r="L63" s="8">
        <f t="shared" si="14"/>
        <v>446.21000000000004</v>
      </c>
      <c r="M63" s="3"/>
      <c r="N63" s="7">
        <f t="shared" si="15"/>
        <v>5.1294401655362689</v>
      </c>
      <c r="O63" s="12"/>
      <c r="P63" s="8">
        <v>3445.25</v>
      </c>
      <c r="Q63" s="3"/>
      <c r="R63" s="7">
        <f t="shared" si="16"/>
        <v>1.6186510851318948E-3</v>
      </c>
      <c r="S63" s="3"/>
      <c r="T63" s="8">
        <v>943.96</v>
      </c>
      <c r="U63" s="3"/>
      <c r="V63" s="7">
        <f t="shared" si="17"/>
        <v>3.5769739143997286E-4</v>
      </c>
      <c r="W63" s="3"/>
      <c r="X63" s="8">
        <f t="shared" si="18"/>
        <v>2501.29</v>
      </c>
      <c r="Y63" s="3"/>
      <c r="Z63" s="7">
        <f t="shared" si="19"/>
        <v>2.6497838891478449</v>
      </c>
    </row>
    <row r="64" spans="1:26" s="69" customFormat="1" ht="15" hidden="1" customHeight="1" outlineLevel="2" x14ac:dyDescent="0.3">
      <c r="A64" s="26"/>
      <c r="B64" s="12" t="str">
        <f>CONCATENATE("          ","6113"," - ","GROUP INSURANCE")</f>
        <v xml:space="preserve">          6113 - GROUP INSURANCE</v>
      </c>
      <c r="C64" s="12"/>
      <c r="D64" s="8">
        <v>3017.37</v>
      </c>
      <c r="E64" s="3"/>
      <c r="F64" s="7">
        <f t="shared" si="12"/>
        <v>1.6902907699873661E-2</v>
      </c>
      <c r="G64" s="3"/>
      <c r="H64" s="8">
        <v>4943.91</v>
      </c>
      <c r="I64" s="3"/>
      <c r="J64" s="7">
        <f t="shared" si="13"/>
        <v>6.3315981313761385E-2</v>
      </c>
      <c r="K64" s="3"/>
      <c r="L64" s="8">
        <f t="shared" si="14"/>
        <v>-1926.54</v>
      </c>
      <c r="M64" s="3"/>
      <c r="N64" s="7">
        <f t="shared" si="15"/>
        <v>-0.38967942377591824</v>
      </c>
      <c r="O64" s="12"/>
      <c r="P64" s="8">
        <v>35089.75</v>
      </c>
      <c r="Q64" s="3"/>
      <c r="R64" s="7">
        <f t="shared" si="16"/>
        <v>1.6485904336262073E-2</v>
      </c>
      <c r="S64" s="3"/>
      <c r="T64" s="8">
        <v>35276.04</v>
      </c>
      <c r="U64" s="3"/>
      <c r="V64" s="7">
        <f t="shared" si="17"/>
        <v>1.3367248070185326E-2</v>
      </c>
      <c r="W64" s="3"/>
      <c r="X64" s="8">
        <f t="shared" si="18"/>
        <v>-186.29000000000087</v>
      </c>
      <c r="Y64" s="3"/>
      <c r="Z64" s="7">
        <f t="shared" si="19"/>
        <v>-5.2809215546870021E-3</v>
      </c>
    </row>
    <row r="65" spans="1:26" s="69" customFormat="1" ht="15" hidden="1" customHeight="1" outlineLevel="2" x14ac:dyDescent="0.3">
      <c r="A65" s="26"/>
      <c r="B65" s="12" t="str">
        <f>CONCATENATE("          ","6114"," - ","STATE UNEMPLOYMENT INSURANCE")</f>
        <v xml:space="preserve">          6114 - STATE UNEMPLOYMENT INSURANCE</v>
      </c>
      <c r="C65" s="12"/>
      <c r="D65" s="8">
        <v>106.2</v>
      </c>
      <c r="E65" s="3"/>
      <c r="F65" s="7">
        <f t="shared" si="12"/>
        <v>5.9491835529835015E-4</v>
      </c>
      <c r="G65" s="3"/>
      <c r="H65" s="8">
        <v>68.540000000000006</v>
      </c>
      <c r="I65" s="3"/>
      <c r="J65" s="7">
        <f t="shared" si="13"/>
        <v>8.7778243520719561E-4</v>
      </c>
      <c r="K65" s="3"/>
      <c r="L65" s="8">
        <f t="shared" si="14"/>
        <v>37.659999999999997</v>
      </c>
      <c r="M65" s="3"/>
      <c r="N65" s="7">
        <f t="shared" si="15"/>
        <v>0.5494601692442368</v>
      </c>
      <c r="O65" s="12"/>
      <c r="P65" s="8">
        <v>683.92</v>
      </c>
      <c r="Q65" s="3"/>
      <c r="R65" s="7">
        <f t="shared" si="16"/>
        <v>3.2132003487218792E-4</v>
      </c>
      <c r="S65" s="3"/>
      <c r="T65" s="8">
        <v>600.69000000000005</v>
      </c>
      <c r="U65" s="3"/>
      <c r="V65" s="7">
        <f t="shared" si="17"/>
        <v>2.2762113443798181E-4</v>
      </c>
      <c r="W65" s="3"/>
      <c r="X65" s="8">
        <f t="shared" si="18"/>
        <v>83.229999999999905</v>
      </c>
      <c r="Y65" s="3"/>
      <c r="Z65" s="7">
        <f t="shared" si="19"/>
        <v>0.13855732574206311</v>
      </c>
    </row>
    <row r="66" spans="1:26" s="69" customFormat="1" ht="15" hidden="1" customHeight="1" outlineLevel="2" x14ac:dyDescent="0.3">
      <c r="A66" s="26"/>
      <c r="B66" s="12" t="str">
        <f>CONCATENATE("          ","6115"," - ","P.E.R.S.")</f>
        <v xml:space="preserve">          6115 - P.E.R.S.</v>
      </c>
      <c r="C66" s="12"/>
      <c r="D66" s="8">
        <v>3125.36</v>
      </c>
      <c r="E66" s="3"/>
      <c r="F66" s="7">
        <f t="shared" si="12"/>
        <v>1.7507853398448698E-2</v>
      </c>
      <c r="G66" s="3"/>
      <c r="H66" s="8">
        <v>1783.22</v>
      </c>
      <c r="I66" s="3"/>
      <c r="J66" s="7">
        <f t="shared" si="13"/>
        <v>2.2837455414505034E-2</v>
      </c>
      <c r="K66" s="3"/>
      <c r="L66" s="8">
        <f t="shared" si="14"/>
        <v>1342.14</v>
      </c>
      <c r="M66" s="3"/>
      <c r="N66" s="7">
        <f t="shared" si="15"/>
        <v>0.75264970110250007</v>
      </c>
      <c r="O66" s="12"/>
      <c r="P66" s="8">
        <v>15371.48</v>
      </c>
      <c r="Q66" s="3"/>
      <c r="R66" s="7">
        <f t="shared" si="16"/>
        <v>7.22184537612168E-3</v>
      </c>
      <c r="S66" s="3"/>
      <c r="T66" s="8">
        <v>14958.51</v>
      </c>
      <c r="U66" s="3"/>
      <c r="V66" s="7">
        <f t="shared" si="17"/>
        <v>5.668269849176605E-3</v>
      </c>
      <c r="W66" s="3"/>
      <c r="X66" s="8">
        <f t="shared" si="18"/>
        <v>412.96999999999935</v>
      </c>
      <c r="Y66" s="3"/>
      <c r="Z66" s="7">
        <f t="shared" si="19"/>
        <v>2.7607696221080797E-2</v>
      </c>
    </row>
    <row r="67" spans="1:26" s="69" customFormat="1" ht="15" hidden="1" customHeight="1" outlineLevel="2" x14ac:dyDescent="0.3">
      <c r="A67" s="26"/>
      <c r="B67" s="12" t="str">
        <f>CONCATENATE("          ","6117"," - ","RETIREMENT STAFF HOURLY")</f>
        <v xml:space="preserve">          6117 - RETIREMENT STAFF HOURLY</v>
      </c>
      <c r="C67" s="12"/>
      <c r="D67" s="8">
        <v>327.02</v>
      </c>
      <c r="E67" s="3"/>
      <c r="F67" s="7">
        <f t="shared" si="12"/>
        <v>1.8319227923697405E-3</v>
      </c>
      <c r="G67" s="3"/>
      <c r="H67" s="8">
        <v>298.89999999999998</v>
      </c>
      <c r="I67" s="3"/>
      <c r="J67" s="7">
        <f t="shared" si="13"/>
        <v>3.827971547759421E-3</v>
      </c>
      <c r="K67" s="3"/>
      <c r="L67" s="8">
        <f t="shared" si="14"/>
        <v>28.120000000000005</v>
      </c>
      <c r="M67" s="3"/>
      <c r="N67" s="7">
        <f t="shared" si="15"/>
        <v>9.4078287052525952E-2</v>
      </c>
      <c r="O67" s="12"/>
      <c r="P67" s="8">
        <v>2594.2600000000002</v>
      </c>
      <c r="Q67" s="3"/>
      <c r="R67" s="7">
        <f t="shared" si="16"/>
        <v>1.2188380419749713E-3</v>
      </c>
      <c r="S67" s="3"/>
      <c r="T67" s="8">
        <v>2140.98</v>
      </c>
      <c r="U67" s="3"/>
      <c r="V67" s="7">
        <f t="shared" si="17"/>
        <v>8.1128751337466954E-4</v>
      </c>
      <c r="W67" s="3"/>
      <c r="X67" s="8">
        <f t="shared" si="18"/>
        <v>453.2800000000002</v>
      </c>
      <c r="Y67" s="3"/>
      <c r="Z67" s="7">
        <f t="shared" si="19"/>
        <v>0.21171612999654374</v>
      </c>
    </row>
    <row r="68" spans="1:26" s="69" customFormat="1" ht="15" hidden="1" customHeight="1" outlineLevel="2" x14ac:dyDescent="0.3">
      <c r="A68" s="26"/>
      <c r="B68" s="12" t="str">
        <f>CONCATENATE("          ","6118"," - ","VACATION")</f>
        <v xml:space="preserve">          6118 - VACATION</v>
      </c>
      <c r="C68" s="12"/>
      <c r="D68" s="8">
        <v>3634.12</v>
      </c>
      <c r="E68" s="3"/>
      <c r="F68" s="7">
        <f t="shared" si="12"/>
        <v>2.0357859636128437E-2</v>
      </c>
      <c r="G68" s="3"/>
      <c r="H68" s="8">
        <v>1386.96</v>
      </c>
      <c r="I68" s="3"/>
      <c r="J68" s="7">
        <f t="shared" si="13"/>
        <v>1.7762607620877908E-2</v>
      </c>
      <c r="K68" s="3"/>
      <c r="L68" s="8">
        <f t="shared" si="14"/>
        <v>2247.16</v>
      </c>
      <c r="M68" s="3"/>
      <c r="N68" s="7">
        <f t="shared" si="15"/>
        <v>1.6202053411778277</v>
      </c>
      <c r="O68" s="12"/>
      <c r="P68" s="8">
        <v>15315</v>
      </c>
      <c r="Q68" s="3"/>
      <c r="R68" s="7">
        <f t="shared" si="16"/>
        <v>7.195309881371445E-3</v>
      </c>
      <c r="S68" s="3"/>
      <c r="T68" s="8">
        <v>10689.66</v>
      </c>
      <c r="U68" s="3"/>
      <c r="V68" s="7">
        <f t="shared" si="17"/>
        <v>4.0506626312346071E-3</v>
      </c>
      <c r="W68" s="3"/>
      <c r="X68" s="8">
        <f t="shared" si="18"/>
        <v>4625.34</v>
      </c>
      <c r="Y68" s="3"/>
      <c r="Z68" s="7">
        <f t="shared" si="19"/>
        <v>0.43269290136449617</v>
      </c>
    </row>
    <row r="69" spans="1:26" s="69" customFormat="1" ht="15" hidden="1" customHeight="1" outlineLevel="2" x14ac:dyDescent="0.3">
      <c r="A69" s="26"/>
      <c r="B69" s="12" t="str">
        <f>CONCATENATE("          ","6119"," - ","SICK LEAVE")</f>
        <v xml:space="preserve">          6119 - SICK LEAVE</v>
      </c>
      <c r="C69" s="12"/>
      <c r="D69" s="8">
        <v>-27254.15</v>
      </c>
      <c r="E69" s="3"/>
      <c r="F69" s="7">
        <f t="shared" si="12"/>
        <v>-0.15267414400239671</v>
      </c>
      <c r="G69" s="3"/>
      <c r="H69" s="8">
        <v>1147.56</v>
      </c>
      <c r="I69" s="3"/>
      <c r="J69" s="7">
        <f t="shared" si="13"/>
        <v>1.4696644460845771E-2</v>
      </c>
      <c r="K69" s="3"/>
      <c r="L69" s="8">
        <f t="shared" si="14"/>
        <v>-28401.710000000003</v>
      </c>
      <c r="M69" s="3"/>
      <c r="N69" s="7">
        <f t="shared" si="15"/>
        <v>-24.749651434347662</v>
      </c>
      <c r="O69" s="12"/>
      <c r="P69" s="8">
        <v>-16488.240000000002</v>
      </c>
      <c r="Q69" s="3"/>
      <c r="R69" s="7">
        <f t="shared" si="16"/>
        <v>-7.7465227684246768E-3</v>
      </c>
      <c r="S69" s="3"/>
      <c r="T69" s="8">
        <v>8739.4599999999991</v>
      </c>
      <c r="U69" s="3"/>
      <c r="V69" s="7">
        <f t="shared" si="17"/>
        <v>3.3116679145239044E-3</v>
      </c>
      <c r="W69" s="3"/>
      <c r="X69" s="8">
        <f t="shared" si="18"/>
        <v>-25227.7</v>
      </c>
      <c r="Y69" s="3"/>
      <c r="Z69" s="7">
        <f t="shared" si="19"/>
        <v>-2.8866428818256509</v>
      </c>
    </row>
    <row r="70" spans="1:26" s="69" customFormat="1" ht="15" hidden="1" customHeight="1" outlineLevel="2" x14ac:dyDescent="0.3">
      <c r="A70" s="26"/>
      <c r="B70" s="12" t="str">
        <f>CONCATENATE("          ","6156"," - ","EMPLOYEE MEALS")</f>
        <v xml:space="preserve">          6156 - EMPLOYEE MEALS</v>
      </c>
      <c r="C70" s="12"/>
      <c r="D70" s="8">
        <v>1099.07</v>
      </c>
      <c r="E70" s="3"/>
      <c r="F70" s="7">
        <f t="shared" si="12"/>
        <v>6.1568447905626898E-3</v>
      </c>
      <c r="G70" s="3"/>
      <c r="H70" s="8">
        <v>337.46</v>
      </c>
      <c r="I70" s="3"/>
      <c r="J70" s="7">
        <f t="shared" si="13"/>
        <v>4.3218042104613387E-3</v>
      </c>
      <c r="K70" s="3"/>
      <c r="L70" s="8">
        <f t="shared" si="14"/>
        <v>761.6099999999999</v>
      </c>
      <c r="M70" s="3"/>
      <c r="N70" s="7">
        <f t="shared" si="15"/>
        <v>2.2568897054465711</v>
      </c>
      <c r="O70" s="12"/>
      <c r="P70" s="8">
        <v>6878.17</v>
      </c>
      <c r="Q70" s="3"/>
      <c r="R70" s="7">
        <f t="shared" si="16"/>
        <v>3.2315092763142432E-3</v>
      </c>
      <c r="S70" s="3"/>
      <c r="T70" s="8">
        <v>3375.84</v>
      </c>
      <c r="U70" s="3"/>
      <c r="V70" s="7">
        <f t="shared" si="17"/>
        <v>1.2792164518821963E-3</v>
      </c>
      <c r="W70" s="3"/>
      <c r="X70" s="8">
        <f t="shared" si="18"/>
        <v>3502.33</v>
      </c>
      <c r="Y70" s="3"/>
      <c r="Z70" s="7">
        <f t="shared" si="19"/>
        <v>1.0374691928527418</v>
      </c>
    </row>
    <row r="71" spans="1:26" s="68" customFormat="1" ht="15" customHeight="1" outlineLevel="1" collapsed="1" x14ac:dyDescent="0.3">
      <c r="A71" s="25"/>
      <c r="B71" s="14" t="str">
        <f>CONCATENATE("     ","*Payroll                                          ")</f>
        <v xml:space="preserve">     *Payroll                                          </v>
      </c>
      <c r="C71" s="14"/>
      <c r="D71" s="2">
        <f>SUM(OSRRefD22_1x_0)</f>
        <v>39884.450000000004</v>
      </c>
      <c r="E71" s="2"/>
      <c r="F71" s="6">
        <f t="shared" si="12"/>
        <v>0.22342741427475785</v>
      </c>
      <c r="G71" s="2"/>
      <c r="H71" s="2">
        <f>SUM(OSRRefH22_1x_0)</f>
        <v>23630.000000000004</v>
      </c>
      <c r="I71" s="2"/>
      <c r="J71" s="6">
        <f t="shared" si="13"/>
        <v>0.30262618826883619</v>
      </c>
      <c r="K71" s="2"/>
      <c r="L71" s="2">
        <f t="shared" si="14"/>
        <v>16254.45</v>
      </c>
      <c r="M71" s="2"/>
      <c r="N71" s="6">
        <f t="shared" si="15"/>
        <v>0.68787346593313581</v>
      </c>
      <c r="O71" s="14"/>
      <c r="P71" s="2">
        <f>SUM(OSRRefP22_1x_0)</f>
        <v>248029.4</v>
      </c>
      <c r="Q71" s="2"/>
      <c r="R71" s="6">
        <f t="shared" si="16"/>
        <v>0.11652944124653154</v>
      </c>
      <c r="S71" s="2"/>
      <c r="T71" s="2">
        <f>SUM(OSRRefT22_1x_0)</f>
        <v>227398.37</v>
      </c>
      <c r="U71" s="2"/>
      <c r="V71" s="6">
        <f t="shared" si="17"/>
        <v>8.6168697579030659E-2</v>
      </c>
      <c r="W71" s="2"/>
      <c r="X71" s="2">
        <f t="shared" si="18"/>
        <v>20631.03</v>
      </c>
      <c r="Y71" s="2"/>
      <c r="Z71" s="6">
        <f t="shared" si="19"/>
        <v>9.0726375919053415E-2</v>
      </c>
    </row>
    <row r="72" spans="1:26" s="69" customFormat="1" ht="15" hidden="1" customHeight="1" outlineLevel="2" x14ac:dyDescent="0.3">
      <c r="A72" s="26"/>
      <c r="B72" s="12" t="str">
        <f>CONCATENATE("          ","6001"," - ","ADMINISTRATIVE SALARIES")</f>
        <v xml:space="preserve">          6001 - ADMINISTRATIVE SALARIES</v>
      </c>
      <c r="C72" s="12"/>
      <c r="D72" s="8"/>
      <c r="E72" s="3"/>
      <c r="F72" s="7">
        <f t="shared" si="12"/>
        <v>0</v>
      </c>
      <c r="G72" s="3"/>
      <c r="H72" s="8"/>
      <c r="I72" s="3"/>
      <c r="J72" s="7">
        <f t="shared" si="13"/>
        <v>0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/>
      <c r="Q72" s="3"/>
      <c r="R72" s="7">
        <f t="shared" si="16"/>
        <v>0</v>
      </c>
      <c r="S72" s="3"/>
      <c r="T72" s="8">
        <v>-311.32</v>
      </c>
      <c r="U72" s="3"/>
      <c r="V72" s="7">
        <f t="shared" si="17"/>
        <v>-1.1796935453101015E-4</v>
      </c>
      <c r="W72" s="3"/>
      <c r="X72" s="8">
        <f t="shared" si="18"/>
        <v>311.32</v>
      </c>
      <c r="Y72" s="3"/>
      <c r="Z72" s="7">
        <f t="shared" si="19"/>
        <v>-1</v>
      </c>
    </row>
    <row r="73" spans="1:26" s="69" customFormat="1" ht="15" hidden="1" customHeight="1" outlineLevel="2" x14ac:dyDescent="0.3">
      <c r="A73" s="26"/>
      <c r="B73" s="12" t="str">
        <f>CONCATENATE("          ","6002"," - ","STAFF SALARIES")</f>
        <v xml:space="preserve">          6002 - STAFF SALARIES</v>
      </c>
      <c r="C73" s="12"/>
      <c r="D73" s="8">
        <v>31965.37</v>
      </c>
      <c r="E73" s="3"/>
      <c r="F73" s="7">
        <f t="shared" si="12"/>
        <v>0.17906577539456894</v>
      </c>
      <c r="G73" s="3"/>
      <c r="H73" s="8">
        <v>16765.57</v>
      </c>
      <c r="I73" s="3"/>
      <c r="J73" s="7">
        <f t="shared" si="13"/>
        <v>0.21471436916015027</v>
      </c>
      <c r="K73" s="3"/>
      <c r="L73" s="8">
        <f t="shared" si="14"/>
        <v>15199.8</v>
      </c>
      <c r="M73" s="3"/>
      <c r="N73" s="7">
        <f t="shared" si="15"/>
        <v>0.90660800676624775</v>
      </c>
      <c r="O73" s="12"/>
      <c r="P73" s="8">
        <v>155168.93</v>
      </c>
      <c r="Q73" s="3"/>
      <c r="R73" s="7">
        <f t="shared" si="16"/>
        <v>7.2901634692186357E-2</v>
      </c>
      <c r="S73" s="3"/>
      <c r="T73" s="8">
        <v>138126.24</v>
      </c>
      <c r="U73" s="3"/>
      <c r="V73" s="7">
        <f t="shared" si="17"/>
        <v>5.2340560762544633E-2</v>
      </c>
      <c r="W73" s="3"/>
      <c r="X73" s="8">
        <f t="shared" si="18"/>
        <v>17042.690000000002</v>
      </c>
      <c r="Y73" s="3"/>
      <c r="Z73" s="7">
        <f t="shared" si="19"/>
        <v>0.12338488327778997</v>
      </c>
    </row>
    <row r="74" spans="1:26" s="69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8">
        <v>8190.43</v>
      </c>
      <c r="E74" s="3"/>
      <c r="F74" s="7">
        <f t="shared" si="12"/>
        <v>4.5881705694785932E-2</v>
      </c>
      <c r="G74" s="3"/>
      <c r="H74" s="8">
        <v>6038.31</v>
      </c>
      <c r="I74" s="3"/>
      <c r="J74" s="7">
        <f t="shared" si="13"/>
        <v>7.733181290247973E-2</v>
      </c>
      <c r="K74" s="3"/>
      <c r="L74" s="8">
        <f t="shared" si="14"/>
        <v>2152.12</v>
      </c>
      <c r="M74" s="3"/>
      <c r="N74" s="7">
        <f t="shared" si="15"/>
        <v>0.35641098254312875</v>
      </c>
      <c r="O74" s="12"/>
      <c r="P74" s="8">
        <v>50625.31</v>
      </c>
      <c r="Q74" s="3"/>
      <c r="R74" s="7">
        <f t="shared" si="16"/>
        <v>2.3784837955631251E-2</v>
      </c>
      <c r="S74" s="3"/>
      <c r="T74" s="8">
        <v>53932.72</v>
      </c>
      <c r="U74" s="3"/>
      <c r="V74" s="7">
        <f t="shared" si="17"/>
        <v>2.0436875775734623E-2</v>
      </c>
      <c r="W74" s="3"/>
      <c r="X74" s="8">
        <f t="shared" si="18"/>
        <v>-3307.4100000000035</v>
      </c>
      <c r="Y74" s="3"/>
      <c r="Z74" s="7">
        <f t="shared" si="19"/>
        <v>-6.1324739416072534E-2</v>
      </c>
    </row>
    <row r="75" spans="1:26" s="69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14698.31</v>
      </c>
      <c r="Q75" s="3"/>
      <c r="R75" s="7">
        <f t="shared" si="16"/>
        <v>6.9055759178883918E-3</v>
      </c>
      <c r="S75" s="3"/>
      <c r="T75" s="8">
        <v>12838</v>
      </c>
      <c r="U75" s="3"/>
      <c r="V75" s="7">
        <f t="shared" si="17"/>
        <v>4.864739089904627E-3</v>
      </c>
      <c r="W75" s="3"/>
      <c r="X75" s="8">
        <f t="shared" si="18"/>
        <v>1860.3099999999995</v>
      </c>
      <c r="Y75" s="3"/>
      <c r="Z75" s="7">
        <f t="shared" si="19"/>
        <v>0.14490652749649474</v>
      </c>
    </row>
    <row r="76" spans="1:26" s="69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/>
      <c r="Q76" s="3"/>
      <c r="R76" s="7">
        <f t="shared" si="16"/>
        <v>0</v>
      </c>
      <c r="S76" s="3"/>
      <c r="T76" s="8">
        <v>502.29</v>
      </c>
      <c r="U76" s="3"/>
      <c r="V76" s="7">
        <f t="shared" si="17"/>
        <v>1.9033414842406878E-4</v>
      </c>
      <c r="W76" s="3"/>
      <c r="X76" s="8">
        <f t="shared" si="18"/>
        <v>-502.29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8">
        <v>-271.35000000000002</v>
      </c>
      <c r="E77" s="3"/>
      <c r="F77" s="7">
        <f t="shared" si="12"/>
        <v>-1.5200668145970556E-3</v>
      </c>
      <c r="G77" s="3"/>
      <c r="H77" s="8">
        <v>541.22</v>
      </c>
      <c r="I77" s="3"/>
      <c r="J77" s="7">
        <f t="shared" si="13"/>
        <v>6.9313307496766613E-3</v>
      </c>
      <c r="K77" s="3"/>
      <c r="L77" s="8">
        <f t="shared" si="14"/>
        <v>-812.57</v>
      </c>
      <c r="M77" s="3"/>
      <c r="N77" s="7">
        <f t="shared" si="15"/>
        <v>-1.5013672813273715</v>
      </c>
      <c r="O77" s="12"/>
      <c r="P77" s="8">
        <v>23570.37</v>
      </c>
      <c r="Q77" s="3"/>
      <c r="R77" s="7">
        <f t="shared" si="16"/>
        <v>1.1073856752764026E-2</v>
      </c>
      <c r="S77" s="3"/>
      <c r="T77" s="8">
        <v>21343.18</v>
      </c>
      <c r="U77" s="3"/>
      <c r="V77" s="7">
        <f t="shared" si="17"/>
        <v>8.0876306316303662E-3</v>
      </c>
      <c r="W77" s="3"/>
      <c r="X77" s="8">
        <f t="shared" si="18"/>
        <v>2227.1899999999987</v>
      </c>
      <c r="Y77" s="3"/>
      <c r="Z77" s="7">
        <f t="shared" si="19"/>
        <v>0.10435136657236638</v>
      </c>
    </row>
    <row r="78" spans="1:26" s="69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8"/>
      <c r="E78" s="3"/>
      <c r="F78" s="7">
        <f t="shared" si="12"/>
        <v>0</v>
      </c>
      <c r="G78" s="3"/>
      <c r="H78" s="8">
        <v>284.89999999999998</v>
      </c>
      <c r="I78" s="3"/>
      <c r="J78" s="7">
        <f t="shared" si="13"/>
        <v>3.6486754565294714E-3</v>
      </c>
      <c r="K78" s="3"/>
      <c r="L78" s="8">
        <f t="shared" si="14"/>
        <v>-284.89999999999998</v>
      </c>
      <c r="M78" s="3"/>
      <c r="N78" s="7">
        <f t="shared" si="15"/>
        <v>-1</v>
      </c>
      <c r="O78" s="12"/>
      <c r="P78" s="8">
        <v>3966.48</v>
      </c>
      <c r="Q78" s="3"/>
      <c r="R78" s="7">
        <f t="shared" si="16"/>
        <v>1.8635359280615219E-3</v>
      </c>
      <c r="S78" s="3"/>
      <c r="T78" s="8">
        <v>967.26</v>
      </c>
      <c r="U78" s="3"/>
      <c r="V78" s="7">
        <f t="shared" si="17"/>
        <v>3.6652652532334862E-4</v>
      </c>
      <c r="W78" s="3"/>
      <c r="X78" s="8">
        <f t="shared" si="18"/>
        <v>2999.2200000000003</v>
      </c>
      <c r="Y78" s="3"/>
      <c r="Z78" s="7">
        <f t="shared" si="19"/>
        <v>3.100738167607469</v>
      </c>
    </row>
    <row r="79" spans="1:26" s="68" customFormat="1" ht="15" customHeight="1" outlineLevel="1" collapsed="1" x14ac:dyDescent="0.3">
      <c r="A79" s="25"/>
      <c r="B79" s="14" t="str">
        <f>CONCATENATE("     ","Advertising/Promo                                 ")</f>
        <v xml:space="preserve">     Advertising/Promo                                 </v>
      </c>
      <c r="C79" s="14"/>
      <c r="D79" s="2">
        <f>SUM(OSRRefD22_2x_0)</f>
        <v>40.54</v>
      </c>
      <c r="E79" s="2"/>
      <c r="F79" s="6">
        <f t="shared" si="12"/>
        <v>2.2709971867980333E-4</v>
      </c>
      <c r="G79" s="2"/>
      <c r="H79" s="2">
        <f>SUM(OSRRefH22_2x_0)</f>
        <v>0</v>
      </c>
      <c r="I79" s="2"/>
      <c r="J79" s="6">
        <f t="shared" si="13"/>
        <v>0</v>
      </c>
      <c r="K79" s="2"/>
      <c r="L79" s="2">
        <f t="shared" si="14"/>
        <v>40.54</v>
      </c>
      <c r="M79" s="2"/>
      <c r="N79" s="6">
        <f t="shared" si="15"/>
        <v>0</v>
      </c>
      <c r="O79" s="14"/>
      <c r="P79" s="2">
        <f>SUM(OSRRefP22_2x_0)</f>
        <v>837.79</v>
      </c>
      <c r="Q79" s="2"/>
      <c r="R79" s="6">
        <f t="shared" si="16"/>
        <v>3.9361140486543798E-4</v>
      </c>
      <c r="S79" s="2"/>
      <c r="T79" s="2">
        <f>SUM(OSRRefT22_2x_0)</f>
        <v>1999.55</v>
      </c>
      <c r="U79" s="2"/>
      <c r="V79" s="6">
        <f t="shared" si="17"/>
        <v>7.5769504963536349E-4</v>
      </c>
      <c r="W79" s="2"/>
      <c r="X79" s="2">
        <f t="shared" si="18"/>
        <v>-1161.76</v>
      </c>
      <c r="Y79" s="2"/>
      <c r="Z79" s="6">
        <f t="shared" si="19"/>
        <v>-0.5810107274136681</v>
      </c>
    </row>
    <row r="80" spans="1:26" s="69" customFormat="1" ht="15" hidden="1" customHeight="1" outlineLevel="2" x14ac:dyDescent="0.3">
      <c r="A80" s="26"/>
      <c r="B80" s="12" t="str">
        <f>CONCATENATE("          ","6362"," - ","ADVERTISING EXPENSE")</f>
        <v xml:space="preserve">          6362 - ADVERTISING EXPENSE</v>
      </c>
      <c r="C80" s="12"/>
      <c r="D80" s="8">
        <v>40.54</v>
      </c>
      <c r="E80" s="3"/>
      <c r="F80" s="7">
        <f t="shared" si="12"/>
        <v>2.2709971867980333E-4</v>
      </c>
      <c r="G80" s="3"/>
      <c r="H80" s="8"/>
      <c r="I80" s="3"/>
      <c r="J80" s="7">
        <f t="shared" si="13"/>
        <v>0</v>
      </c>
      <c r="K80" s="3"/>
      <c r="L80" s="8">
        <f t="shared" si="14"/>
        <v>40.54</v>
      </c>
      <c r="M80" s="3"/>
      <c r="N80" s="7">
        <f t="shared" si="15"/>
        <v>0</v>
      </c>
      <c r="O80" s="12"/>
      <c r="P80" s="8">
        <v>837.79</v>
      </c>
      <c r="Q80" s="3"/>
      <c r="R80" s="7">
        <f t="shared" si="16"/>
        <v>3.9361140486543798E-4</v>
      </c>
      <c r="S80" s="3"/>
      <c r="T80" s="8">
        <v>1999.55</v>
      </c>
      <c r="U80" s="3"/>
      <c r="V80" s="7">
        <f t="shared" si="17"/>
        <v>7.5769504963536349E-4</v>
      </c>
      <c r="W80" s="3"/>
      <c r="X80" s="8">
        <f t="shared" si="18"/>
        <v>-1161.76</v>
      </c>
      <c r="Y80" s="3"/>
      <c r="Z80" s="7">
        <f t="shared" si="19"/>
        <v>-0.5810107274136681</v>
      </c>
    </row>
    <row r="81" spans="1:26" s="68" customFormat="1" ht="15" customHeight="1" outlineLevel="1" collapsed="1" x14ac:dyDescent="0.3">
      <c r="A81" s="25"/>
      <c r="B81" s="14" t="str">
        <f>CONCATENATE("     ","Discounts and Markdowns                           ")</f>
        <v xml:space="preserve">     Discounts and Markdowns                           </v>
      </c>
      <c r="C81" s="14"/>
      <c r="D81" s="2">
        <f>SUM(OSRRefD22_3x_0)</f>
        <v>0</v>
      </c>
      <c r="E81" s="2"/>
      <c r="F81" s="6">
        <f t="shared" si="12"/>
        <v>0</v>
      </c>
      <c r="G81" s="2"/>
      <c r="H81" s="2">
        <f>SUM(OSRRefH22_3x_0)</f>
        <v>42.86</v>
      </c>
      <c r="I81" s="2"/>
      <c r="J81" s="6">
        <f t="shared" si="13"/>
        <v>5.4890217643683106E-4</v>
      </c>
      <c r="K81" s="2"/>
      <c r="L81" s="2">
        <f t="shared" si="14"/>
        <v>-42.86</v>
      </c>
      <c r="M81" s="2"/>
      <c r="N81" s="6">
        <f t="shared" si="15"/>
        <v>-1</v>
      </c>
      <c r="O81" s="14"/>
      <c r="P81" s="2">
        <f>SUM(OSRRefP22_3x_0)</f>
        <v>1.35</v>
      </c>
      <c r="Q81" s="2"/>
      <c r="R81" s="6">
        <f t="shared" si="16"/>
        <v>6.3425846162921651E-7</v>
      </c>
      <c r="S81" s="2"/>
      <c r="T81" s="2">
        <f>SUM(OSRRefT22_3x_0)</f>
        <v>0</v>
      </c>
      <c r="U81" s="2"/>
      <c r="V81" s="6">
        <f t="shared" si="17"/>
        <v>0</v>
      </c>
      <c r="W81" s="2"/>
      <c r="X81" s="2">
        <f t="shared" si="18"/>
        <v>1.35</v>
      </c>
      <c r="Y81" s="2"/>
      <c r="Z81" s="6">
        <f t="shared" si="19"/>
        <v>0</v>
      </c>
    </row>
    <row r="82" spans="1:26" s="69" customFormat="1" ht="15" hidden="1" customHeight="1" outlineLevel="2" x14ac:dyDescent="0.3">
      <c r="A82" s="26"/>
      <c r="B82" s="12" t="str">
        <f>CONCATENATE("          ","6382"," - ","DISCOUNTS/MARK DOWNS")</f>
        <v xml:space="preserve">          6382 - DISCOUNTS/MARK DOWNS</v>
      </c>
      <c r="C82" s="12"/>
      <c r="D82" s="8"/>
      <c r="E82" s="3"/>
      <c r="F82" s="7">
        <f t="shared" si="12"/>
        <v>0</v>
      </c>
      <c r="G82" s="3"/>
      <c r="H82" s="8">
        <v>0</v>
      </c>
      <c r="I82" s="3"/>
      <c r="J82" s="7">
        <f t="shared" si="13"/>
        <v>0</v>
      </c>
      <c r="K82" s="3"/>
      <c r="L82" s="8">
        <f t="shared" si="14"/>
        <v>0</v>
      </c>
      <c r="M82" s="3"/>
      <c r="N82" s="7">
        <f t="shared" si="15"/>
        <v>0</v>
      </c>
      <c r="O82" s="12"/>
      <c r="P82" s="8">
        <v>1.35</v>
      </c>
      <c r="Q82" s="3"/>
      <c r="R82" s="7">
        <f t="shared" si="16"/>
        <v>6.3425846162921651E-7</v>
      </c>
      <c r="S82" s="3"/>
      <c r="T82" s="8">
        <v>0</v>
      </c>
      <c r="U82" s="3"/>
      <c r="V82" s="7">
        <f t="shared" si="17"/>
        <v>0</v>
      </c>
      <c r="W82" s="3"/>
      <c r="X82" s="8">
        <f t="shared" si="18"/>
        <v>1.35</v>
      </c>
      <c r="Y82" s="3"/>
      <c r="Z82" s="7">
        <f t="shared" si="19"/>
        <v>0</v>
      </c>
    </row>
    <row r="83" spans="1:26" s="69" customFormat="1" ht="15" hidden="1" customHeight="1" outlineLevel="2" x14ac:dyDescent="0.3">
      <c r="A83" s="26"/>
      <c r="B83" s="12" t="str">
        <f>CONCATENATE("          ","9175"," - ","EARNED DISCOUNTS")</f>
        <v xml:space="preserve">          9175 - EARNED DISCOUNTS</v>
      </c>
      <c r="C83" s="12"/>
      <c r="D83" s="8"/>
      <c r="E83" s="3"/>
      <c r="F83" s="7">
        <f t="shared" si="12"/>
        <v>0</v>
      </c>
      <c r="G83" s="3"/>
      <c r="H83" s="8">
        <v>42.86</v>
      </c>
      <c r="I83" s="3"/>
      <c r="J83" s="7">
        <f t="shared" si="13"/>
        <v>5.4890217643683106E-4</v>
      </c>
      <c r="K83" s="3"/>
      <c r="L83" s="8">
        <f t="shared" si="14"/>
        <v>-42.86</v>
      </c>
      <c r="M83" s="3"/>
      <c r="N83" s="7">
        <f t="shared" si="15"/>
        <v>-1</v>
      </c>
      <c r="O83" s="12"/>
      <c r="P83" s="8"/>
      <c r="Q83" s="3"/>
      <c r="R83" s="7">
        <f t="shared" si="16"/>
        <v>0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0</v>
      </c>
      <c r="Y83" s="3"/>
      <c r="Z83" s="7">
        <f t="shared" si="19"/>
        <v>0</v>
      </c>
    </row>
    <row r="84" spans="1:26" s="68" customFormat="1" ht="15" customHeight="1" outlineLevel="1" collapsed="1" x14ac:dyDescent="0.3">
      <c r="A84" s="25"/>
      <c r="B84" s="14" t="str">
        <f>CONCATENATE("     ","Employees' Appreciation                           ")</f>
        <v xml:space="preserve">     Employees' Appreciation                           </v>
      </c>
      <c r="C84" s="14"/>
      <c r="D84" s="2">
        <f>SUM(OSRRefD22_4x_0)</f>
        <v>0</v>
      </c>
      <c r="E84" s="2"/>
      <c r="F84" s="6">
        <f t="shared" si="12"/>
        <v>0</v>
      </c>
      <c r="G84" s="2"/>
      <c r="H84" s="2">
        <f>SUM(OSRRefH22_4x_0)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SUM(OSRRefP22_4x_0)</f>
        <v>0</v>
      </c>
      <c r="Q84" s="2"/>
      <c r="R84" s="6">
        <f t="shared" si="16"/>
        <v>0</v>
      </c>
      <c r="S84" s="2"/>
      <c r="T84" s="2">
        <f>SUM(OSRRefT22_4x_0)</f>
        <v>107.7</v>
      </c>
      <c r="U84" s="2"/>
      <c r="V84" s="6">
        <f t="shared" si="17"/>
        <v>4.0811060911569428E-5</v>
      </c>
      <c r="W84" s="2"/>
      <c r="X84" s="2">
        <f t="shared" si="18"/>
        <v>-107.7</v>
      </c>
      <c r="Y84" s="2"/>
      <c r="Z84" s="6">
        <f t="shared" si="19"/>
        <v>-1</v>
      </c>
    </row>
    <row r="85" spans="1:26" s="69" customFormat="1" ht="15" hidden="1" customHeight="1" outlineLevel="2" x14ac:dyDescent="0.3">
      <c r="A85" s="26"/>
      <c r="B85" s="12" t="str">
        <f>CONCATENATE("          ","6277"," - ","EMPLOYEE APPRECIATION")</f>
        <v xml:space="preserve">          6277 - EMPLOYEE APPRECIATION</v>
      </c>
      <c r="C85" s="12"/>
      <c r="D85" s="8"/>
      <c r="E85" s="3"/>
      <c r="F85" s="7">
        <f t="shared" si="12"/>
        <v>0</v>
      </c>
      <c r="G85" s="3"/>
      <c r="H85" s="8">
        <v>0</v>
      </c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/>
      <c r="Q85" s="3"/>
      <c r="R85" s="7">
        <f t="shared" si="16"/>
        <v>0</v>
      </c>
      <c r="S85" s="3"/>
      <c r="T85" s="8">
        <v>107.7</v>
      </c>
      <c r="U85" s="3"/>
      <c r="V85" s="7">
        <f t="shared" si="17"/>
        <v>4.0811060911569428E-5</v>
      </c>
      <c r="W85" s="3"/>
      <c r="X85" s="8">
        <f t="shared" si="18"/>
        <v>-107.7</v>
      </c>
      <c r="Y85" s="3"/>
      <c r="Z85" s="7">
        <f t="shared" si="19"/>
        <v>-1</v>
      </c>
    </row>
    <row r="86" spans="1:26" s="68" customFormat="1" ht="15" customHeight="1" outlineLevel="1" collapsed="1" x14ac:dyDescent="0.3">
      <c r="A86" s="25"/>
      <c r="B86" s="14" t="str">
        <f>CONCATENATE("     ","Equipment Rental                                  ")</f>
        <v xml:space="preserve">     Equipment Rental                                  </v>
      </c>
      <c r="C86" s="14"/>
      <c r="D86" s="2">
        <f>SUM(OSRRefD22_5x_0)</f>
        <v>91.26</v>
      </c>
      <c r="E86" s="2"/>
      <c r="F86" s="6">
        <f t="shared" si="12"/>
        <v>5.1122645107841273E-4</v>
      </c>
      <c r="G86" s="2"/>
      <c r="H86" s="2">
        <f>SUM(OSRRefH22_5x_0)</f>
        <v>91.26</v>
      </c>
      <c r="I86" s="2"/>
      <c r="J86" s="6">
        <f t="shared" si="13"/>
        <v>1.168754377546085E-3</v>
      </c>
      <c r="K86" s="2"/>
      <c r="L86" s="2">
        <f t="shared" si="14"/>
        <v>0</v>
      </c>
      <c r="M86" s="2"/>
      <c r="N86" s="6">
        <f t="shared" si="15"/>
        <v>0</v>
      </c>
      <c r="O86" s="14"/>
      <c r="P86" s="2">
        <f>SUM(OSRRefP22_5x_0)</f>
        <v>730.08</v>
      </c>
      <c r="Q86" s="2"/>
      <c r="R86" s="6">
        <f t="shared" si="16"/>
        <v>3.4300697604908029E-4</v>
      </c>
      <c r="S86" s="2"/>
      <c r="T86" s="2">
        <f>SUM(OSRRefT22_5x_0)</f>
        <v>730.08</v>
      </c>
      <c r="U86" s="2"/>
      <c r="V86" s="6">
        <f t="shared" si="17"/>
        <v>2.7665124744956924E-4</v>
      </c>
      <c r="W86" s="2"/>
      <c r="X86" s="2">
        <f t="shared" si="18"/>
        <v>0</v>
      </c>
      <c r="Y86" s="2"/>
      <c r="Z86" s="6">
        <f t="shared" si="19"/>
        <v>0</v>
      </c>
    </row>
    <row r="87" spans="1:26" s="69" customFormat="1" ht="15" hidden="1" customHeight="1" outlineLevel="2" x14ac:dyDescent="0.3">
      <c r="A87" s="26"/>
      <c r="B87" s="12" t="str">
        <f>CONCATENATE("          ","6351"," - ","EQUIPMENT RENTAL")</f>
        <v xml:space="preserve">          6351 - EQUIPMENT RENTAL</v>
      </c>
      <c r="C87" s="12"/>
      <c r="D87" s="8">
        <v>91.26</v>
      </c>
      <c r="E87" s="3"/>
      <c r="F87" s="7">
        <f t="shared" si="12"/>
        <v>5.1122645107841273E-4</v>
      </c>
      <c r="G87" s="3"/>
      <c r="H87" s="8">
        <v>91.26</v>
      </c>
      <c r="I87" s="3"/>
      <c r="J87" s="7">
        <f t="shared" si="13"/>
        <v>1.168754377546085E-3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>
        <v>730.08</v>
      </c>
      <c r="Q87" s="3"/>
      <c r="R87" s="7">
        <f t="shared" si="16"/>
        <v>3.4300697604908029E-4</v>
      </c>
      <c r="S87" s="3"/>
      <c r="T87" s="8">
        <v>730.08</v>
      </c>
      <c r="U87" s="3"/>
      <c r="V87" s="7">
        <f t="shared" si="17"/>
        <v>2.7665124744956924E-4</v>
      </c>
      <c r="W87" s="3"/>
      <c r="X87" s="8">
        <f t="shared" si="18"/>
        <v>0</v>
      </c>
      <c r="Y87" s="3"/>
      <c r="Z87" s="7">
        <f t="shared" si="19"/>
        <v>0</v>
      </c>
    </row>
    <row r="88" spans="1:26" s="68" customFormat="1" ht="15" customHeight="1" outlineLevel="1" collapsed="1" x14ac:dyDescent="0.3">
      <c r="A88" s="25"/>
      <c r="B88" s="14" t="str">
        <f>CONCATENATE("     ","Freight out/Postage                               ")</f>
        <v xml:space="preserve">     Freight out/Postage                               </v>
      </c>
      <c r="C88" s="14"/>
      <c r="D88" s="2">
        <f>SUM(OSRRefD22_6x_0)</f>
        <v>1.06</v>
      </c>
      <c r="E88" s="2"/>
      <c r="F88" s="6">
        <f t="shared" si="12"/>
        <v>5.937979817478824E-6</v>
      </c>
      <c r="G88" s="2"/>
      <c r="H88" s="2">
        <f>SUM(OSRRefH22_6x_0)</f>
        <v>1294.28</v>
      </c>
      <c r="I88" s="2"/>
      <c r="J88" s="6">
        <f t="shared" si="13"/>
        <v>1.6575667496935644E-2</v>
      </c>
      <c r="K88" s="2"/>
      <c r="L88" s="2">
        <f t="shared" si="14"/>
        <v>-1293.22</v>
      </c>
      <c r="M88" s="2"/>
      <c r="N88" s="6">
        <f t="shared" si="15"/>
        <v>-0.99918101183669694</v>
      </c>
      <c r="O88" s="14"/>
      <c r="P88" s="2">
        <f>SUM(OSRRefP22_6x_0)</f>
        <v>5623.17</v>
      </c>
      <c r="Q88" s="2"/>
      <c r="R88" s="6">
        <f t="shared" si="16"/>
        <v>2.6418838175404158E-3</v>
      </c>
      <c r="S88" s="2"/>
      <c r="T88" s="2">
        <f>SUM(OSRRefT22_6x_0)</f>
        <v>10464.33</v>
      </c>
      <c r="U88" s="2"/>
      <c r="V88" s="6">
        <f t="shared" si="17"/>
        <v>3.9652777068594552E-3</v>
      </c>
      <c r="W88" s="2"/>
      <c r="X88" s="2">
        <f t="shared" si="18"/>
        <v>-4841.16</v>
      </c>
      <c r="Y88" s="2"/>
      <c r="Z88" s="6">
        <f t="shared" si="19"/>
        <v>-0.46263449260487771</v>
      </c>
    </row>
    <row r="89" spans="1:26" s="69" customFormat="1" ht="15" hidden="1" customHeight="1" outlineLevel="2" x14ac:dyDescent="0.3">
      <c r="A89" s="26"/>
      <c r="B89" s="12" t="str">
        <f>CONCATENATE("          ","6305"," - ","FREIGHT OUT")</f>
        <v xml:space="preserve">          6305 - FREIGHT OUT</v>
      </c>
      <c r="C89" s="12"/>
      <c r="D89" s="8"/>
      <c r="E89" s="3"/>
      <c r="F89" s="7">
        <f t="shared" si="12"/>
        <v>0</v>
      </c>
      <c r="G89" s="3"/>
      <c r="H89" s="8">
        <v>1294.28</v>
      </c>
      <c r="I89" s="3"/>
      <c r="J89" s="7">
        <f t="shared" si="13"/>
        <v>1.6575667496935644E-2</v>
      </c>
      <c r="K89" s="3"/>
      <c r="L89" s="8">
        <f t="shared" si="14"/>
        <v>-1294.28</v>
      </c>
      <c r="M89" s="3"/>
      <c r="N89" s="7">
        <f t="shared" si="15"/>
        <v>-1</v>
      </c>
      <c r="O89" s="12"/>
      <c r="P89" s="8">
        <v>5621.58</v>
      </c>
      <c r="Q89" s="3"/>
      <c r="R89" s="7">
        <f t="shared" si="16"/>
        <v>2.6411368020189414E-3</v>
      </c>
      <c r="S89" s="3"/>
      <c r="T89" s="8">
        <v>10463.83</v>
      </c>
      <c r="U89" s="3"/>
      <c r="V89" s="7">
        <f t="shared" si="17"/>
        <v>3.9650882404671075E-3</v>
      </c>
      <c r="W89" s="3"/>
      <c r="X89" s="8">
        <f t="shared" si="18"/>
        <v>-4842.25</v>
      </c>
      <c r="Y89" s="3"/>
      <c r="Z89" s="7">
        <f t="shared" si="19"/>
        <v>-0.46276076732897992</v>
      </c>
    </row>
    <row r="90" spans="1:26" s="69" customFormat="1" ht="15" hidden="1" customHeight="1" outlineLevel="2" x14ac:dyDescent="0.3">
      <c r="A90" s="26"/>
      <c r="B90" s="12" t="str">
        <f>CONCATENATE("          ","6307"," - ","POSTAGE")</f>
        <v xml:space="preserve">          6307 - POSTAGE</v>
      </c>
      <c r="C90" s="12"/>
      <c r="D90" s="8">
        <v>1.06</v>
      </c>
      <c r="E90" s="3"/>
      <c r="F90" s="7">
        <f t="shared" si="12"/>
        <v>5.937979817478824E-6</v>
      </c>
      <c r="G90" s="3"/>
      <c r="H90" s="8"/>
      <c r="I90" s="3"/>
      <c r="J90" s="7">
        <f t="shared" si="13"/>
        <v>0</v>
      </c>
      <c r="K90" s="3"/>
      <c r="L90" s="8">
        <f t="shared" si="14"/>
        <v>1.06</v>
      </c>
      <c r="M90" s="3"/>
      <c r="N90" s="7">
        <f t="shared" si="15"/>
        <v>0</v>
      </c>
      <c r="O90" s="12"/>
      <c r="P90" s="8">
        <v>1.59</v>
      </c>
      <c r="Q90" s="3"/>
      <c r="R90" s="7">
        <f t="shared" si="16"/>
        <v>7.4701552147441053E-7</v>
      </c>
      <c r="S90" s="3"/>
      <c r="T90" s="8">
        <v>0.5</v>
      </c>
      <c r="U90" s="3"/>
      <c r="V90" s="7">
        <f t="shared" si="17"/>
        <v>1.8946639234711898E-7</v>
      </c>
      <c r="W90" s="3"/>
      <c r="X90" s="8">
        <f t="shared" si="18"/>
        <v>1.0900000000000001</v>
      </c>
      <c r="Y90" s="3"/>
      <c r="Z90" s="7">
        <f t="shared" si="19"/>
        <v>2.1800000000000002</v>
      </c>
    </row>
    <row r="91" spans="1:26" s="68" customFormat="1" ht="15" customHeight="1" outlineLevel="1" collapsed="1" x14ac:dyDescent="0.3">
      <c r="A91" s="25"/>
      <c r="B91" s="14" t="str">
        <f>CONCATENATE("     ","General                                           ")</f>
        <v xml:space="preserve">     General                                           </v>
      </c>
      <c r="C91" s="14"/>
      <c r="D91" s="2">
        <f>SUM(OSRRefD22_7x_0)</f>
        <v>0</v>
      </c>
      <c r="E91" s="2"/>
      <c r="F91" s="6">
        <f t="shared" si="12"/>
        <v>0</v>
      </c>
      <c r="G91" s="2"/>
      <c r="H91" s="2">
        <f>SUM(OSRRefH22_7x_0)</f>
        <v>-4.21</v>
      </c>
      <c r="I91" s="2"/>
      <c r="J91" s="6">
        <f t="shared" si="13"/>
        <v>-5.3916896005577659E-5</v>
      </c>
      <c r="K91" s="2"/>
      <c r="L91" s="2">
        <f t="shared" si="14"/>
        <v>4.21</v>
      </c>
      <c r="M91" s="2"/>
      <c r="N91" s="6">
        <f t="shared" si="15"/>
        <v>-1</v>
      </c>
      <c r="O91" s="14"/>
      <c r="P91" s="2">
        <f>SUM(OSRRefP22_7x_0)</f>
        <v>0</v>
      </c>
      <c r="Q91" s="2"/>
      <c r="R91" s="6">
        <f t="shared" si="16"/>
        <v>0</v>
      </c>
      <c r="S91" s="2"/>
      <c r="T91" s="2">
        <f>SUM(OSRRefT22_7x_0)</f>
        <v>-1042.03</v>
      </c>
      <c r="U91" s="2"/>
      <c r="V91" s="6">
        <f t="shared" si="17"/>
        <v>-3.9485932963493676E-4</v>
      </c>
      <c r="W91" s="2"/>
      <c r="X91" s="2">
        <f t="shared" si="18"/>
        <v>1042.03</v>
      </c>
      <c r="Y91" s="2"/>
      <c r="Z91" s="6">
        <f t="shared" si="19"/>
        <v>-1</v>
      </c>
    </row>
    <row r="92" spans="1:26" s="69" customFormat="1" ht="15" hidden="1" customHeight="1" outlineLevel="2" x14ac:dyDescent="0.3">
      <c r="A92" s="26"/>
      <c r="B92" s="12" t="str">
        <f>CONCATENATE("          ","6279"," - ","GENERAL EXPENSE")</f>
        <v xml:space="preserve">          6279 - GENERAL EXPENSE</v>
      </c>
      <c r="C92" s="12"/>
      <c r="D92" s="8"/>
      <c r="E92" s="3"/>
      <c r="F92" s="7">
        <f t="shared" ref="F92:F109" si="20">IF(D$12=0,0,D92/D$12)</f>
        <v>0</v>
      </c>
      <c r="G92" s="3"/>
      <c r="H92" s="8">
        <v>-4.21</v>
      </c>
      <c r="I92" s="3"/>
      <c r="J92" s="7">
        <f t="shared" ref="J92:J109" si="21">IF(H$12=0,0,H92/H$12)</f>
        <v>-5.3916896005577659E-5</v>
      </c>
      <c r="K92" s="3"/>
      <c r="L92" s="8">
        <f t="shared" ref="L92:L109" si="22">+D92-H92</f>
        <v>4.21</v>
      </c>
      <c r="M92" s="3"/>
      <c r="N92" s="7">
        <f t="shared" ref="N92:N109" si="23">IF(H92=0,0,L92/H92)</f>
        <v>-1</v>
      </c>
      <c r="O92" s="12"/>
      <c r="P92" s="8"/>
      <c r="Q92" s="3"/>
      <c r="R92" s="7">
        <f t="shared" ref="R92:R109" si="24">IF(P$12=0,0,P92/P$12)</f>
        <v>0</v>
      </c>
      <c r="S92" s="3"/>
      <c r="T92" s="8">
        <v>-1042.03</v>
      </c>
      <c r="U92" s="3"/>
      <c r="V92" s="7">
        <f t="shared" ref="V92:V109" si="25">IF(T$12=0,0,T92/T$12)</f>
        <v>-3.9485932963493676E-4</v>
      </c>
      <c r="W92" s="3"/>
      <c r="X92" s="8">
        <f t="shared" ref="X92:X109" si="26">+P92-T92</f>
        <v>1042.03</v>
      </c>
      <c r="Y92" s="3"/>
      <c r="Z92" s="7">
        <f t="shared" ref="Z92:Z109" si="27">IF(T92=0,0,X92/T92)</f>
        <v>-1</v>
      </c>
    </row>
    <row r="93" spans="1:26" s="68" customFormat="1" ht="15" customHeight="1" outlineLevel="1" collapsed="1" x14ac:dyDescent="0.3">
      <c r="A93" s="25"/>
      <c r="B93" s="14" t="str">
        <f>CONCATENATE("     ","Inventory Adjustment                              ")</f>
        <v xml:space="preserve">     Inventory Adjustment                              </v>
      </c>
      <c r="C93" s="14"/>
      <c r="D93" s="2">
        <f>SUM(OSRRefD22_8x_0)</f>
        <v>1000</v>
      </c>
      <c r="E93" s="2"/>
      <c r="F93" s="6">
        <f t="shared" si="20"/>
        <v>5.6018677523385135E-3</v>
      </c>
      <c r="G93" s="2"/>
      <c r="H93" s="2">
        <f>SUM(OSRRefH22_8x_0)</f>
        <v>1000</v>
      </c>
      <c r="I93" s="2"/>
      <c r="J93" s="6">
        <f t="shared" si="21"/>
        <v>1.2806863659282105E-2</v>
      </c>
      <c r="K93" s="2"/>
      <c r="L93" s="2">
        <f t="shared" si="22"/>
        <v>0</v>
      </c>
      <c r="M93" s="2"/>
      <c r="N93" s="6">
        <f t="shared" si="23"/>
        <v>0</v>
      </c>
      <c r="O93" s="14"/>
      <c r="P93" s="2">
        <f>SUM(OSRRefP22_8x_0)</f>
        <v>12000</v>
      </c>
      <c r="Q93" s="2"/>
      <c r="R93" s="6">
        <f t="shared" si="24"/>
        <v>5.637852992259702E-3</v>
      </c>
      <c r="S93" s="2"/>
      <c r="T93" s="2">
        <f>SUM(OSRRefT22_8x_0)</f>
        <v>13000</v>
      </c>
      <c r="U93" s="2"/>
      <c r="V93" s="6">
        <f t="shared" si="25"/>
        <v>4.9261262010250936E-3</v>
      </c>
      <c r="W93" s="2"/>
      <c r="X93" s="2">
        <f t="shared" si="26"/>
        <v>-1000</v>
      </c>
      <c r="Y93" s="2"/>
      <c r="Z93" s="6">
        <f t="shared" si="27"/>
        <v>-7.6923076923076927E-2</v>
      </c>
    </row>
    <row r="94" spans="1:26" s="69" customFormat="1" ht="15" hidden="1" customHeight="1" outlineLevel="2" x14ac:dyDescent="0.3">
      <c r="A94" s="26"/>
      <c r="B94" s="12" t="str">
        <f>CONCATENATE("          ","6408"," - ","INVENTORY ADJUSTMENT")</f>
        <v xml:space="preserve">          6408 - INVENTORY ADJUSTMENT</v>
      </c>
      <c r="C94" s="12"/>
      <c r="D94" s="8">
        <v>1000</v>
      </c>
      <c r="E94" s="3"/>
      <c r="F94" s="7">
        <f t="shared" si="20"/>
        <v>5.6018677523385135E-3</v>
      </c>
      <c r="G94" s="3"/>
      <c r="H94" s="8">
        <v>1000</v>
      </c>
      <c r="I94" s="3"/>
      <c r="J94" s="7">
        <f t="shared" si="21"/>
        <v>1.2806863659282105E-2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>
        <v>12000</v>
      </c>
      <c r="Q94" s="3"/>
      <c r="R94" s="7">
        <f t="shared" si="24"/>
        <v>5.637852992259702E-3</v>
      </c>
      <c r="S94" s="3"/>
      <c r="T94" s="8">
        <v>13000</v>
      </c>
      <c r="U94" s="3"/>
      <c r="V94" s="7">
        <f t="shared" si="25"/>
        <v>4.9261262010250936E-3</v>
      </c>
      <c r="W94" s="3"/>
      <c r="X94" s="8">
        <f t="shared" si="26"/>
        <v>-1000</v>
      </c>
      <c r="Y94" s="3"/>
      <c r="Z94" s="7">
        <f t="shared" si="27"/>
        <v>-7.6923076923076927E-2</v>
      </c>
    </row>
    <row r="95" spans="1:26" s="68" customFormat="1" ht="15" customHeight="1" outlineLevel="1" collapsed="1" x14ac:dyDescent="0.3">
      <c r="A95" s="25"/>
      <c r="B95" s="14" t="str">
        <f>CONCATENATE("     ","Repair and Maintenance                            ")</f>
        <v xml:space="preserve">     Repair and Maintenance                            </v>
      </c>
      <c r="C95" s="14"/>
      <c r="D95" s="2">
        <f>SUM(OSRRefD22_9x_0)</f>
        <v>16.850000000000001</v>
      </c>
      <c r="E95" s="2"/>
      <c r="F95" s="6">
        <f t="shared" si="20"/>
        <v>9.4391471626903951E-5</v>
      </c>
      <c r="G95" s="2"/>
      <c r="H95" s="2">
        <f>SUM(OSRRefH22_9x_0)</f>
        <v>15.47</v>
      </c>
      <c r="I95" s="2"/>
      <c r="J95" s="6">
        <f t="shared" si="21"/>
        <v>1.9812218080909416E-4</v>
      </c>
      <c r="K95" s="2"/>
      <c r="L95" s="2">
        <f t="shared" si="22"/>
        <v>1.3800000000000008</v>
      </c>
      <c r="M95" s="2"/>
      <c r="N95" s="6">
        <f t="shared" si="23"/>
        <v>8.9204912734324543E-2</v>
      </c>
      <c r="O95" s="14"/>
      <c r="P95" s="2">
        <f>SUM(OSRRefP22_9x_0)</f>
        <v>5895.85</v>
      </c>
      <c r="Q95" s="2"/>
      <c r="R95" s="6">
        <f t="shared" si="24"/>
        <v>2.7699946303678638E-3</v>
      </c>
      <c r="S95" s="2"/>
      <c r="T95" s="2">
        <f>SUM(OSRRefT22_9x_0)</f>
        <v>182.85000000000002</v>
      </c>
      <c r="U95" s="2"/>
      <c r="V95" s="6">
        <f t="shared" si="25"/>
        <v>6.9287859681341416E-5</v>
      </c>
      <c r="W95" s="2"/>
      <c r="X95" s="2">
        <f t="shared" si="26"/>
        <v>5713</v>
      </c>
      <c r="Y95" s="2"/>
      <c r="Z95" s="6">
        <f t="shared" si="27"/>
        <v>31.244189226141643</v>
      </c>
    </row>
    <row r="96" spans="1:26" s="69" customFormat="1" ht="15" hidden="1" customHeight="1" outlineLevel="2" x14ac:dyDescent="0.3">
      <c r="A96" s="26"/>
      <c r="B96" s="12" t="str">
        <f>CONCATENATE("          ","6371"," - ","COMPUTER SOFTWARE MAINTENANCE")</f>
        <v xml:space="preserve">          6371 - COMPUTER SOFTWARE MAINTENANCE</v>
      </c>
      <c r="C96" s="12"/>
      <c r="D96" s="8"/>
      <c r="E96" s="3"/>
      <c r="F96" s="7">
        <f t="shared" si="20"/>
        <v>0</v>
      </c>
      <c r="G96" s="3"/>
      <c r="H96" s="8"/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>
        <v>5775</v>
      </c>
      <c r="Q96" s="3"/>
      <c r="R96" s="7">
        <f t="shared" si="24"/>
        <v>2.7132167525249816E-3</v>
      </c>
      <c r="S96" s="3"/>
      <c r="T96" s="8"/>
      <c r="U96" s="3"/>
      <c r="V96" s="7">
        <f t="shared" si="25"/>
        <v>0</v>
      </c>
      <c r="W96" s="3"/>
      <c r="X96" s="8">
        <f t="shared" si="26"/>
        <v>5775</v>
      </c>
      <c r="Y96" s="3"/>
      <c r="Z96" s="7">
        <f t="shared" si="27"/>
        <v>0</v>
      </c>
    </row>
    <row r="97" spans="1:26" s="69" customFormat="1" ht="15" hidden="1" customHeight="1" outlineLevel="2" x14ac:dyDescent="0.3">
      <c r="A97" s="26"/>
      <c r="B97" s="12" t="str">
        <f>CONCATENATE("          ","6373"," - ","MAINTENANCE CONTRACTS")</f>
        <v xml:space="preserve">          6373 - MAINTENANCE CONTRACTS</v>
      </c>
      <c r="C97" s="12"/>
      <c r="D97" s="8">
        <v>16.850000000000001</v>
      </c>
      <c r="E97" s="3"/>
      <c r="F97" s="7">
        <f t="shared" si="20"/>
        <v>9.4391471626903951E-5</v>
      </c>
      <c r="G97" s="3"/>
      <c r="H97" s="8">
        <v>15.47</v>
      </c>
      <c r="I97" s="3"/>
      <c r="J97" s="7">
        <f t="shared" si="21"/>
        <v>1.9812218080909416E-4</v>
      </c>
      <c r="K97" s="3"/>
      <c r="L97" s="8">
        <f t="shared" si="22"/>
        <v>1.3800000000000008</v>
      </c>
      <c r="M97" s="3"/>
      <c r="N97" s="7">
        <f t="shared" si="23"/>
        <v>8.9204912734324543E-2</v>
      </c>
      <c r="O97" s="12"/>
      <c r="P97" s="8">
        <v>120.85</v>
      </c>
      <c r="Q97" s="3"/>
      <c r="R97" s="7">
        <f t="shared" si="24"/>
        <v>5.677787784288208E-5</v>
      </c>
      <c r="S97" s="3"/>
      <c r="T97" s="8">
        <v>157.74</v>
      </c>
      <c r="U97" s="3"/>
      <c r="V97" s="7">
        <f t="shared" si="25"/>
        <v>5.97728574576691E-5</v>
      </c>
      <c r="W97" s="3"/>
      <c r="X97" s="8">
        <f t="shared" si="26"/>
        <v>-36.890000000000015</v>
      </c>
      <c r="Y97" s="3"/>
      <c r="Z97" s="7">
        <f t="shared" si="27"/>
        <v>-0.23386585520476741</v>
      </c>
    </row>
    <row r="98" spans="1:26" s="69" customFormat="1" ht="15" hidden="1" customHeight="1" outlineLevel="2" x14ac:dyDescent="0.3">
      <c r="A98" s="26"/>
      <c r="B98" s="12" t="str">
        <f>CONCATENATE("          ","6375"," - ","OUTSIDE REPAIRS &amp; MAINTENANCE")</f>
        <v xml:space="preserve">          6375 - OUTSIDE REPAIRS &amp; MAINTENANCE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/>
      <c r="Q98" s="3"/>
      <c r="R98" s="7">
        <f t="shared" si="24"/>
        <v>0</v>
      </c>
      <c r="S98" s="3"/>
      <c r="T98" s="8">
        <v>25.11</v>
      </c>
      <c r="U98" s="3"/>
      <c r="V98" s="7">
        <f t="shared" si="25"/>
        <v>9.5150022236723143E-6</v>
      </c>
      <c r="W98" s="3"/>
      <c r="X98" s="8">
        <f t="shared" si="26"/>
        <v>-25.11</v>
      </c>
      <c r="Y98" s="3"/>
      <c r="Z98" s="7">
        <f t="shared" si="27"/>
        <v>-1</v>
      </c>
    </row>
    <row r="99" spans="1:26" s="68" customFormat="1" ht="15" customHeight="1" outlineLevel="1" collapsed="1" x14ac:dyDescent="0.3">
      <c r="A99" s="25"/>
      <c r="B99" s="14" t="str">
        <f>CONCATENATE("     ","Subscriptions &amp; Dues                              ")</f>
        <v xml:space="preserve">     Subscriptions &amp; Dues                              </v>
      </c>
      <c r="C99" s="14"/>
      <c r="D99" s="2">
        <f>SUM(OSRRefD22_10x_0)</f>
        <v>131.72</v>
      </c>
      <c r="E99" s="2"/>
      <c r="F99" s="6">
        <f t="shared" si="20"/>
        <v>7.3787802033802898E-4</v>
      </c>
      <c r="G99" s="2"/>
      <c r="H99" s="2">
        <f>SUM(OSRRefH22_10x_0)</f>
        <v>181.41</v>
      </c>
      <c r="I99" s="2"/>
      <c r="J99" s="6">
        <f t="shared" si="21"/>
        <v>2.3232931364303667E-3</v>
      </c>
      <c r="K99" s="2"/>
      <c r="L99" s="2">
        <f t="shared" si="22"/>
        <v>-49.69</v>
      </c>
      <c r="M99" s="2"/>
      <c r="N99" s="6">
        <f t="shared" si="23"/>
        <v>-0.27390992778788381</v>
      </c>
      <c r="O99" s="14"/>
      <c r="P99" s="2">
        <f>SUM(OSRRefP22_10x_0)</f>
        <v>1945.45</v>
      </c>
      <c r="Q99" s="2"/>
      <c r="R99" s="6">
        <f t="shared" si="24"/>
        <v>9.1401342531596981E-4</v>
      </c>
      <c r="S99" s="2"/>
      <c r="T99" s="2">
        <f>SUM(OSRRefT22_10x_0)</f>
        <v>4093.84</v>
      </c>
      <c r="U99" s="2"/>
      <c r="V99" s="6">
        <f t="shared" si="25"/>
        <v>1.5512901912926591E-3</v>
      </c>
      <c r="W99" s="2"/>
      <c r="X99" s="2">
        <f t="shared" si="26"/>
        <v>-2148.3900000000003</v>
      </c>
      <c r="Y99" s="2"/>
      <c r="Z99" s="6">
        <f t="shared" si="27"/>
        <v>-0.52478601997146934</v>
      </c>
    </row>
    <row r="100" spans="1:26" s="69" customFormat="1" ht="15" hidden="1" customHeight="1" outlineLevel="2" x14ac:dyDescent="0.3">
      <c r="A100" s="26"/>
      <c r="B100" s="12" t="str">
        <f>CONCATENATE("          ","6258"," - ","MEMBERSHIP DUES")</f>
        <v xml:space="preserve">          6258 - MEMBERSHIP DUES</v>
      </c>
      <c r="C100" s="12"/>
      <c r="D100" s="8">
        <v>131.72</v>
      </c>
      <c r="E100" s="3"/>
      <c r="F100" s="7">
        <f t="shared" si="20"/>
        <v>7.3787802033802898E-4</v>
      </c>
      <c r="G100" s="3"/>
      <c r="H100" s="8">
        <v>181.41</v>
      </c>
      <c r="I100" s="3"/>
      <c r="J100" s="7">
        <f t="shared" si="21"/>
        <v>2.3232931364303667E-3</v>
      </c>
      <c r="K100" s="3"/>
      <c r="L100" s="8">
        <f t="shared" si="22"/>
        <v>-49.69</v>
      </c>
      <c r="M100" s="3"/>
      <c r="N100" s="7">
        <f t="shared" si="23"/>
        <v>-0.27390992778788381</v>
      </c>
      <c r="O100" s="12"/>
      <c r="P100" s="8">
        <v>1945.45</v>
      </c>
      <c r="Q100" s="3"/>
      <c r="R100" s="7">
        <f t="shared" si="24"/>
        <v>9.1401342531596981E-4</v>
      </c>
      <c r="S100" s="3"/>
      <c r="T100" s="8">
        <v>2241.7600000000002</v>
      </c>
      <c r="U100" s="3"/>
      <c r="V100" s="7">
        <f t="shared" si="25"/>
        <v>8.4947635941615498E-4</v>
      </c>
      <c r="W100" s="3"/>
      <c r="X100" s="8">
        <f t="shared" si="26"/>
        <v>-296.31000000000017</v>
      </c>
      <c r="Y100" s="3"/>
      <c r="Z100" s="7">
        <f t="shared" si="27"/>
        <v>-0.13217739633145392</v>
      </c>
    </row>
    <row r="101" spans="1:26" s="69" customFormat="1" ht="15" hidden="1" customHeight="1" outlineLevel="2" x14ac:dyDescent="0.3">
      <c r="A101" s="26"/>
      <c r="B101" s="12" t="str">
        <f>CONCATENATE("          ","6275"," - ","SUBSCRIPTIONS")</f>
        <v xml:space="preserve">          6275 - SUBSCRIPTIONS</v>
      </c>
      <c r="C101" s="12"/>
      <c r="D101" s="8"/>
      <c r="E101" s="3"/>
      <c r="F101" s="7">
        <f t="shared" si="20"/>
        <v>0</v>
      </c>
      <c r="G101" s="3"/>
      <c r="H101" s="8"/>
      <c r="I101" s="3"/>
      <c r="J101" s="7">
        <f t="shared" si="21"/>
        <v>0</v>
      </c>
      <c r="K101" s="3"/>
      <c r="L101" s="8">
        <f t="shared" si="22"/>
        <v>0</v>
      </c>
      <c r="M101" s="3"/>
      <c r="N101" s="7">
        <f t="shared" si="23"/>
        <v>0</v>
      </c>
      <c r="O101" s="12"/>
      <c r="P101" s="8"/>
      <c r="Q101" s="3"/>
      <c r="R101" s="7">
        <f t="shared" si="24"/>
        <v>0</v>
      </c>
      <c r="S101" s="3"/>
      <c r="T101" s="8">
        <v>1852.08</v>
      </c>
      <c r="U101" s="3"/>
      <c r="V101" s="7">
        <f t="shared" si="25"/>
        <v>7.0181383187650423E-4</v>
      </c>
      <c r="W101" s="3"/>
      <c r="X101" s="8">
        <f t="shared" si="26"/>
        <v>-1852.08</v>
      </c>
      <c r="Y101" s="3"/>
      <c r="Z101" s="7">
        <f t="shared" si="27"/>
        <v>-1</v>
      </c>
    </row>
    <row r="102" spans="1:26" s="68" customFormat="1" ht="15" customHeight="1" outlineLevel="1" collapsed="1" x14ac:dyDescent="0.3">
      <c r="A102" s="25"/>
      <c r="B102" s="14" t="str">
        <f>CONCATENATE("     ","Supplies                                          ")</f>
        <v xml:space="preserve">     Supplies                                          </v>
      </c>
      <c r="C102" s="14"/>
      <c r="D102" s="2">
        <f>SUM(OSRRefD22_11x_0)</f>
        <v>77.47999999999999</v>
      </c>
      <c r="E102" s="2"/>
      <c r="F102" s="6">
        <f t="shared" si="20"/>
        <v>4.3403271345118793E-4</v>
      </c>
      <c r="G102" s="2"/>
      <c r="H102" s="2">
        <f>SUM(OSRRefH22_11x_0)</f>
        <v>583.6</v>
      </c>
      <c r="I102" s="2"/>
      <c r="J102" s="6">
        <f t="shared" si="21"/>
        <v>7.4740856315570368E-3</v>
      </c>
      <c r="K102" s="2"/>
      <c r="L102" s="2">
        <f t="shared" si="22"/>
        <v>-506.12</v>
      </c>
      <c r="M102" s="2"/>
      <c r="N102" s="6">
        <f t="shared" si="23"/>
        <v>-0.86723783413296773</v>
      </c>
      <c r="O102" s="14"/>
      <c r="P102" s="2">
        <f>SUM(OSRRefP22_11x_0)</f>
        <v>1198.25</v>
      </c>
      <c r="Q102" s="2"/>
      <c r="R102" s="6">
        <f t="shared" si="24"/>
        <v>5.6296311233126569E-4</v>
      </c>
      <c r="S102" s="2"/>
      <c r="T102" s="2">
        <f>SUM(OSRRefT22_11x_0)</f>
        <v>4835.5</v>
      </c>
      <c r="U102" s="2"/>
      <c r="V102" s="6">
        <f t="shared" si="25"/>
        <v>1.8323294803889876E-3</v>
      </c>
      <c r="W102" s="2"/>
      <c r="X102" s="2">
        <f t="shared" si="26"/>
        <v>-3637.25</v>
      </c>
      <c r="Y102" s="2"/>
      <c r="Z102" s="6">
        <f t="shared" si="27"/>
        <v>-0.75219729086961018</v>
      </c>
    </row>
    <row r="103" spans="1:26" s="69" customFormat="1" ht="15" hidden="1" customHeight="1" outlineLevel="2" x14ac:dyDescent="0.3">
      <c r="A103" s="26"/>
      <c r="B103" s="12" t="str">
        <f>CONCATENATE("          ","6241"," - ","OFFICE EXPENSE")</f>
        <v xml:space="preserve">          6241 - OFFICE EXPENSE</v>
      </c>
      <c r="C103" s="12"/>
      <c r="D103" s="8">
        <v>70.989999999999995</v>
      </c>
      <c r="E103" s="3"/>
      <c r="F103" s="7">
        <f t="shared" si="20"/>
        <v>3.9767659173851102E-4</v>
      </c>
      <c r="G103" s="3"/>
      <c r="H103" s="8">
        <v>45</v>
      </c>
      <c r="I103" s="3"/>
      <c r="J103" s="7">
        <f t="shared" si="21"/>
        <v>5.7630886466769474E-4</v>
      </c>
      <c r="K103" s="3"/>
      <c r="L103" s="8">
        <f t="shared" si="22"/>
        <v>25.989999999999995</v>
      </c>
      <c r="M103" s="3"/>
      <c r="N103" s="7">
        <f t="shared" si="23"/>
        <v>0.57755555555555549</v>
      </c>
      <c r="O103" s="12"/>
      <c r="P103" s="8">
        <v>1191.76</v>
      </c>
      <c r="Q103" s="3"/>
      <c r="R103" s="7">
        <f t="shared" si="24"/>
        <v>5.599139735046186E-4</v>
      </c>
      <c r="S103" s="3"/>
      <c r="T103" s="8">
        <v>1254.5999999999999</v>
      </c>
      <c r="U103" s="3"/>
      <c r="V103" s="7">
        <f t="shared" si="25"/>
        <v>4.754090716773909E-4</v>
      </c>
      <c r="W103" s="3"/>
      <c r="X103" s="8">
        <f t="shared" si="26"/>
        <v>-62.839999999999918</v>
      </c>
      <c r="Y103" s="3"/>
      <c r="Z103" s="7">
        <f t="shared" si="27"/>
        <v>-5.008767734736165E-2</v>
      </c>
    </row>
    <row r="104" spans="1:26" s="69" customFormat="1" ht="15" hidden="1" customHeight="1" outlineLevel="2" x14ac:dyDescent="0.3">
      <c r="A104" s="26"/>
      <c r="B104" s="12" t="str">
        <f>CONCATENATE("          ","6247"," - ","STORE SUPPLIES")</f>
        <v xml:space="preserve">          6247 - STORE SUPPLIES</v>
      </c>
      <c r="C104" s="12"/>
      <c r="D104" s="8">
        <v>6.49</v>
      </c>
      <c r="E104" s="3"/>
      <c r="F104" s="7">
        <f t="shared" si="20"/>
        <v>3.6356121712676954E-5</v>
      </c>
      <c r="G104" s="3"/>
      <c r="H104" s="8">
        <v>538.6</v>
      </c>
      <c r="I104" s="3"/>
      <c r="J104" s="7">
        <f t="shared" si="21"/>
        <v>6.8977767668893424E-3</v>
      </c>
      <c r="K104" s="3"/>
      <c r="L104" s="8">
        <f t="shared" si="22"/>
        <v>-532.11</v>
      </c>
      <c r="M104" s="3"/>
      <c r="N104" s="7">
        <f t="shared" si="23"/>
        <v>-0.98795024136650578</v>
      </c>
      <c r="O104" s="12"/>
      <c r="P104" s="8">
        <v>6.49</v>
      </c>
      <c r="Q104" s="3"/>
      <c r="R104" s="7">
        <f t="shared" si="24"/>
        <v>3.0491388266471223E-6</v>
      </c>
      <c r="S104" s="3"/>
      <c r="T104" s="8">
        <v>3580.9</v>
      </c>
      <c r="U104" s="3"/>
      <c r="V104" s="7">
        <f t="shared" si="25"/>
        <v>1.3569204087115966E-3</v>
      </c>
      <c r="W104" s="3"/>
      <c r="X104" s="8">
        <f t="shared" si="26"/>
        <v>-3574.4100000000003</v>
      </c>
      <c r="Y104" s="3"/>
      <c r="Z104" s="7">
        <f t="shared" si="27"/>
        <v>-0.99818760646764781</v>
      </c>
    </row>
    <row r="105" spans="1:26" s="68" customFormat="1" ht="15" customHeight="1" outlineLevel="1" collapsed="1" x14ac:dyDescent="0.3">
      <c r="A105" s="25"/>
      <c r="B105" s="14" t="str">
        <f>CONCATENATE("     ","Telephone/Data Lines                              ")</f>
        <v xml:space="preserve">     Telephone/Data Lines                              </v>
      </c>
      <c r="C105" s="14"/>
      <c r="D105" s="2">
        <f>SUM(OSRRefD22_12x_0)</f>
        <v>386.05</v>
      </c>
      <c r="E105" s="2"/>
      <c r="F105" s="6">
        <f t="shared" si="20"/>
        <v>2.1626010457902831E-3</v>
      </c>
      <c r="G105" s="2"/>
      <c r="H105" s="2">
        <f>SUM(OSRRefH22_12x_0)</f>
        <v>505.85</v>
      </c>
      <c r="I105" s="2"/>
      <c r="J105" s="6">
        <f t="shared" si="21"/>
        <v>6.478351982047853E-3</v>
      </c>
      <c r="K105" s="2"/>
      <c r="L105" s="2">
        <f t="shared" si="22"/>
        <v>-119.80000000000001</v>
      </c>
      <c r="M105" s="2"/>
      <c r="N105" s="6">
        <f t="shared" si="23"/>
        <v>-0.23682909953543541</v>
      </c>
      <c r="O105" s="14"/>
      <c r="P105" s="2">
        <f>SUM(OSRRefP22_12x_0)</f>
        <v>4476.55</v>
      </c>
      <c r="Q105" s="2"/>
      <c r="R105" s="6">
        <f t="shared" si="24"/>
        <v>2.1031775677083477E-3</v>
      </c>
      <c r="S105" s="2"/>
      <c r="T105" s="2">
        <f>SUM(OSRRefT22_12x_0)</f>
        <v>6763.55</v>
      </c>
      <c r="U105" s="2"/>
      <c r="V105" s="6">
        <f t="shared" si="25"/>
        <v>2.5629308359187133E-3</v>
      </c>
      <c r="W105" s="2"/>
      <c r="X105" s="2">
        <f t="shared" si="26"/>
        <v>-2287</v>
      </c>
      <c r="Y105" s="2"/>
      <c r="Z105" s="6">
        <f t="shared" si="27"/>
        <v>-0.3381360380273673</v>
      </c>
    </row>
    <row r="106" spans="1:26" s="69" customFormat="1" ht="15" hidden="1" customHeight="1" outlineLevel="2" x14ac:dyDescent="0.3">
      <c r="A106" s="26"/>
      <c r="B106" s="12" t="str">
        <f>CONCATENATE("          ","6303"," - ","DATA PHONE LINES")</f>
        <v xml:space="preserve">          6303 - DATA PHONE LINES</v>
      </c>
      <c r="C106" s="12"/>
      <c r="D106" s="8"/>
      <c r="E106" s="3"/>
      <c r="F106" s="7">
        <f t="shared" si="20"/>
        <v>0</v>
      </c>
      <c r="G106" s="3"/>
      <c r="H106" s="8">
        <v>590</v>
      </c>
      <c r="I106" s="3"/>
      <c r="J106" s="7">
        <f t="shared" si="21"/>
        <v>7.556049558976442E-3</v>
      </c>
      <c r="K106" s="3"/>
      <c r="L106" s="8">
        <f t="shared" si="22"/>
        <v>-590</v>
      </c>
      <c r="M106" s="3"/>
      <c r="N106" s="7">
        <f t="shared" si="23"/>
        <v>-1</v>
      </c>
      <c r="O106" s="12"/>
      <c r="P106" s="8">
        <v>295</v>
      </c>
      <c r="Q106" s="3"/>
      <c r="R106" s="7">
        <f t="shared" si="24"/>
        <v>1.3859721939305102E-4</v>
      </c>
      <c r="S106" s="3"/>
      <c r="T106" s="8">
        <v>2950</v>
      </c>
      <c r="U106" s="3"/>
      <c r="V106" s="7">
        <f t="shared" si="25"/>
        <v>1.117851714848002E-3</v>
      </c>
      <c r="W106" s="3"/>
      <c r="X106" s="8">
        <f t="shared" si="26"/>
        <v>-2655</v>
      </c>
      <c r="Y106" s="3"/>
      <c r="Z106" s="7">
        <f t="shared" si="27"/>
        <v>-0.9</v>
      </c>
    </row>
    <row r="107" spans="1:26" s="69" customFormat="1" ht="15" hidden="1" customHeight="1" outlineLevel="2" x14ac:dyDescent="0.3">
      <c r="A107" s="26"/>
      <c r="B107" s="12" t="str">
        <f>CONCATENATE("          ","6309"," - ","TELEPHONE")</f>
        <v xml:space="preserve">          6309 - TELEPHONE</v>
      </c>
      <c r="C107" s="12"/>
      <c r="D107" s="8">
        <v>386.05</v>
      </c>
      <c r="E107" s="3"/>
      <c r="F107" s="7">
        <f t="shared" si="20"/>
        <v>2.1626010457902831E-3</v>
      </c>
      <c r="G107" s="3"/>
      <c r="H107" s="8">
        <v>-84.15</v>
      </c>
      <c r="I107" s="3"/>
      <c r="J107" s="7">
        <f t="shared" si="21"/>
        <v>-1.0776975769285892E-3</v>
      </c>
      <c r="K107" s="3"/>
      <c r="L107" s="8">
        <f t="shared" si="22"/>
        <v>470.20000000000005</v>
      </c>
      <c r="M107" s="3"/>
      <c r="N107" s="7">
        <f t="shared" si="23"/>
        <v>-5.5876411170528817</v>
      </c>
      <c r="O107" s="12"/>
      <c r="P107" s="8">
        <v>4181.55</v>
      </c>
      <c r="Q107" s="3"/>
      <c r="R107" s="7">
        <f t="shared" si="24"/>
        <v>1.9645803483152964E-3</v>
      </c>
      <c r="S107" s="3"/>
      <c r="T107" s="8">
        <v>3813.55</v>
      </c>
      <c r="U107" s="3"/>
      <c r="V107" s="7">
        <f t="shared" si="25"/>
        <v>1.4450791210707111E-3</v>
      </c>
      <c r="W107" s="3"/>
      <c r="X107" s="8">
        <f t="shared" si="26"/>
        <v>368</v>
      </c>
      <c r="Y107" s="3"/>
      <c r="Z107" s="7">
        <f t="shared" si="27"/>
        <v>9.6498013661811169E-2</v>
      </c>
    </row>
    <row r="108" spans="1:26" s="68" customFormat="1" ht="15" customHeight="1" outlineLevel="1" collapsed="1" x14ac:dyDescent="0.3">
      <c r="A108" s="25"/>
      <c r="B108" s="14" t="str">
        <f>CONCATENATE("     ","Travel                                            ")</f>
        <v xml:space="preserve">     Travel                                            </v>
      </c>
      <c r="C108" s="14"/>
      <c r="D108" s="2">
        <f>SUM(OSRRefD22_13x_0)</f>
        <v>0</v>
      </c>
      <c r="E108" s="2"/>
      <c r="F108" s="6">
        <f t="shared" si="20"/>
        <v>0</v>
      </c>
      <c r="G108" s="2"/>
      <c r="H108" s="2">
        <f>SUM(OSRRefH22_13x_0)</f>
        <v>0</v>
      </c>
      <c r="I108" s="2"/>
      <c r="J108" s="6">
        <f t="shared" si="21"/>
        <v>0</v>
      </c>
      <c r="K108" s="2"/>
      <c r="L108" s="2">
        <f t="shared" si="22"/>
        <v>0</v>
      </c>
      <c r="M108" s="2"/>
      <c r="N108" s="6">
        <f t="shared" si="23"/>
        <v>0</v>
      </c>
      <c r="O108" s="14"/>
      <c r="P108" s="2">
        <f>SUM(OSRRefP22_13x_0)</f>
        <v>0</v>
      </c>
      <c r="Q108" s="2"/>
      <c r="R108" s="6">
        <f t="shared" si="24"/>
        <v>0</v>
      </c>
      <c r="S108" s="2"/>
      <c r="T108" s="2">
        <f>SUM(OSRRefT22_13x_0)</f>
        <v>0.16</v>
      </c>
      <c r="U108" s="2"/>
      <c r="V108" s="6">
        <f t="shared" si="25"/>
        <v>6.0629245551078069E-8</v>
      </c>
      <c r="W108" s="2"/>
      <c r="X108" s="2">
        <f t="shared" si="26"/>
        <v>-0.16</v>
      </c>
      <c r="Y108" s="2"/>
      <c r="Z108" s="6">
        <f t="shared" si="27"/>
        <v>-1</v>
      </c>
    </row>
    <row r="109" spans="1:26" s="69" customFormat="1" ht="15" hidden="1" customHeight="1" outlineLevel="2" x14ac:dyDescent="0.3">
      <c r="A109" s="26"/>
      <c r="B109" s="12" t="str">
        <f>CONCATENATE("          ","6292"," - ","TRAVEL/CONFERENCE")</f>
        <v xml:space="preserve">          6292 - TRAVEL/CONFERENCE</v>
      </c>
      <c r="C109" s="12"/>
      <c r="D109" s="8"/>
      <c r="E109" s="3"/>
      <c r="F109" s="7">
        <f t="shared" si="20"/>
        <v>0</v>
      </c>
      <c r="G109" s="3"/>
      <c r="H109" s="8"/>
      <c r="I109" s="3"/>
      <c r="J109" s="7">
        <f t="shared" si="21"/>
        <v>0</v>
      </c>
      <c r="K109" s="3"/>
      <c r="L109" s="8">
        <f t="shared" si="22"/>
        <v>0</v>
      </c>
      <c r="M109" s="3"/>
      <c r="N109" s="7">
        <f t="shared" si="23"/>
        <v>0</v>
      </c>
      <c r="O109" s="12"/>
      <c r="P109" s="8"/>
      <c r="Q109" s="3"/>
      <c r="R109" s="7">
        <f t="shared" si="24"/>
        <v>0</v>
      </c>
      <c r="S109" s="3"/>
      <c r="T109" s="8">
        <v>0.16</v>
      </c>
      <c r="U109" s="3"/>
      <c r="V109" s="7">
        <f t="shared" si="25"/>
        <v>6.0629245551078069E-8</v>
      </c>
      <c r="W109" s="3"/>
      <c r="X109" s="8">
        <f t="shared" si="26"/>
        <v>-0.16</v>
      </c>
      <c r="Y109" s="3"/>
      <c r="Z109" s="7">
        <f t="shared" si="27"/>
        <v>-1</v>
      </c>
    </row>
    <row r="110" spans="1:26" s="64" customFormat="1" ht="15" customHeight="1" x14ac:dyDescent="0.3">
      <c r="A110" s="36"/>
      <c r="B110" s="36"/>
      <c r="C110" s="36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3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62" customFormat="1" ht="15" customHeight="1" collapsed="1" x14ac:dyDescent="0.3">
      <c r="A111" s="11"/>
      <c r="B111" s="27" t="s">
        <v>290</v>
      </c>
      <c r="C111" s="11"/>
      <c r="D111" s="5">
        <f>SUM(OSRRefD25x_0)</f>
        <v>155658.63</v>
      </c>
      <c r="E111" s="5"/>
      <c r="F111" s="13">
        <f>IF(D$12=0,0,D111/D$12)</f>
        <v>0.8719790597701923</v>
      </c>
      <c r="G111" s="5"/>
      <c r="H111" s="5">
        <f>SUM(OSRRefH25x_0)</f>
        <v>145116.21</v>
      </c>
      <c r="I111" s="5"/>
      <c r="J111" s="13">
        <f>IF(H$12=0,0,H111/H$12)</f>
        <v>1.8584835162217503</v>
      </c>
      <c r="K111" s="5"/>
      <c r="L111" s="5">
        <f>+D111-H111</f>
        <v>10542.420000000013</v>
      </c>
      <c r="M111" s="5"/>
      <c r="N111" s="13">
        <f>IF(H111=0,0,L111/H111)</f>
        <v>7.2648121116173123E-2</v>
      </c>
      <c r="O111" s="11"/>
      <c r="P111" s="5">
        <f>SUM(OSRRefP25x_0)</f>
        <v>349887.55000000005</v>
      </c>
      <c r="Q111" s="5"/>
      <c r="R111" s="13">
        <f>IF(P$12=0,0,P111/P$12)</f>
        <v>0.16438454756015969</v>
      </c>
      <c r="S111" s="5"/>
      <c r="T111" s="5">
        <f>SUM(OSRRefT25x_0)</f>
        <v>325937.90000000002</v>
      </c>
      <c r="U111" s="5"/>
      <c r="V111" s="13">
        <f>IF(T$12=0,0,T111/T$12)</f>
        <v>0.12350855608439207</v>
      </c>
      <c r="W111" s="5"/>
      <c r="X111" s="5">
        <f>+P111-T111</f>
        <v>23949.650000000023</v>
      </c>
      <c r="Y111" s="5"/>
      <c r="Z111" s="13">
        <f>IF(T111=0,0,X111/T111)</f>
        <v>7.3479181156901427E-2</v>
      </c>
    </row>
    <row r="112" spans="1:26" s="69" customFormat="1" ht="15" hidden="1" customHeight="1" outlineLevel="1" x14ac:dyDescent="0.3">
      <c r="A112" s="42"/>
      <c r="B112" s="12" t="str">
        <f>CONCATENATE("          ","9150"," - ","MISC. INCOME")</f>
        <v xml:space="preserve">          9150 - MISC. INCOME</v>
      </c>
      <c r="C112" s="12"/>
      <c r="D112" s="3">
        <f>--2944.95</f>
        <v>2944.95</v>
      </c>
      <c r="E112" s="3"/>
      <c r="F112" s="20">
        <f>IF(D$12=0,0,D112/D$12)</f>
        <v>1.6497220437249303E-2</v>
      </c>
      <c r="G112" s="3"/>
      <c r="H112" s="3">
        <f>-3618.29</f>
        <v>-3618.29</v>
      </c>
      <c r="I112" s="3"/>
      <c r="J112" s="20">
        <f>IF(H$12=0,0,H112/H$12)</f>
        <v>-4.6338946709743846E-2</v>
      </c>
      <c r="K112" s="3"/>
      <c r="L112" s="3">
        <f>+D112-H112</f>
        <v>6563.24</v>
      </c>
      <c r="M112" s="3"/>
      <c r="N112" s="20">
        <f>IF(H112=0,0,L112/H112)</f>
        <v>-1.8139065691251945</v>
      </c>
      <c r="O112" s="12"/>
      <c r="P112" s="3">
        <f>--22258.22</f>
        <v>22258.22</v>
      </c>
      <c r="Q112" s="3"/>
      <c r="R112" s="20">
        <f>IF(P$12=0,0,P112/P$12)</f>
        <v>1.0457381019114562E-2</v>
      </c>
      <c r="S112" s="3"/>
      <c r="T112" s="3">
        <f>--24713.75</f>
        <v>24713.75</v>
      </c>
      <c r="U112" s="3"/>
      <c r="V112" s="20">
        <f>IF(T$12=0,0,T112/T$12)</f>
        <v>9.3648501077372229E-3</v>
      </c>
      <c r="W112" s="3"/>
      <c r="X112" s="3">
        <f>+P112-T112</f>
        <v>-2455.5299999999988</v>
      </c>
      <c r="Y112" s="3"/>
      <c r="Z112" s="20">
        <f>IF(T112=0,0,X112/T112)</f>
        <v>-9.9358858934803451E-2</v>
      </c>
    </row>
    <row r="113" spans="1:26" s="69" customFormat="1" ht="15" hidden="1" customHeight="1" outlineLevel="1" x14ac:dyDescent="0.3">
      <c r="A113" s="42"/>
      <c r="B113" s="12" t="str">
        <f>CONCATENATE("          ","9151"," - ","MISC. INCOME")</f>
        <v xml:space="preserve">          9151 - MISC. INCOME</v>
      </c>
      <c r="C113" s="12"/>
      <c r="D113" s="3">
        <f>--152339.59</f>
        <v>152339.59</v>
      </c>
      <c r="E113" s="3"/>
      <c r="F113" s="20">
        <f>IF(D$12=0,0,D113/D$12)</f>
        <v>0.85338623662547064</v>
      </c>
      <c r="G113" s="3"/>
      <c r="H113" s="3">
        <f>--148653.31</f>
        <v>148653.31</v>
      </c>
      <c r="I113" s="3"/>
      <c r="J113" s="20">
        <f>IF(H$12=0,0,H113/H$12)</f>
        <v>1.9037826736709971</v>
      </c>
      <c r="K113" s="3"/>
      <c r="L113" s="3">
        <f>+D113-H113</f>
        <v>3686.2799999999988</v>
      </c>
      <c r="M113" s="3"/>
      <c r="N113" s="20">
        <f>IF(H113=0,0,L113/H113)</f>
        <v>2.4797833294125767E-2</v>
      </c>
      <c r="O113" s="12"/>
      <c r="P113" s="3">
        <f>--323761.7</f>
        <v>323761.7</v>
      </c>
      <c r="Q113" s="3"/>
      <c r="R113" s="20">
        <f>IF(P$12=0,0,P113/P$12)</f>
        <v>0.15211007242700733</v>
      </c>
      <c r="S113" s="3"/>
      <c r="T113" s="3">
        <f>--297910.7</f>
        <v>297910.7</v>
      </c>
      <c r="U113" s="3"/>
      <c r="V113" s="20">
        <f>IF(T$12=0,0,T113/T$12)</f>
        <v>0.11288813114120971</v>
      </c>
      <c r="W113" s="3"/>
      <c r="X113" s="3">
        <f>+P113-T113</f>
        <v>25851</v>
      </c>
      <c r="Y113" s="3"/>
      <c r="Z113" s="20">
        <f>IF(T113=0,0,X113/T113)</f>
        <v>8.6774325326347795E-2</v>
      </c>
    </row>
    <row r="114" spans="1:26" s="69" customFormat="1" ht="15" hidden="1" customHeight="1" outlineLevel="1" x14ac:dyDescent="0.3">
      <c r="A114" s="42"/>
      <c r="B114" s="12" t="str">
        <f>CONCATENATE("          ","9152"," - ","MISC. INCOME")</f>
        <v xml:space="preserve">          9152 - MISC. INCOME</v>
      </c>
      <c r="C114" s="12"/>
      <c r="D114" s="3">
        <f>--374.09</f>
        <v>374.09</v>
      </c>
      <c r="E114" s="3"/>
      <c r="F114" s="20">
        <f>IF(D$12=0,0,D114/D$12)</f>
        <v>2.0956027074723145E-3</v>
      </c>
      <c r="G114" s="3"/>
      <c r="H114" s="3">
        <f>--81.19</f>
        <v>81.19</v>
      </c>
      <c r="I114" s="3"/>
      <c r="J114" s="20">
        <f>IF(H$12=0,0,H114/H$12)</f>
        <v>1.0397892604971141E-3</v>
      </c>
      <c r="K114" s="3"/>
      <c r="L114" s="3">
        <f>+D114-H114</f>
        <v>292.89999999999998</v>
      </c>
      <c r="M114" s="3"/>
      <c r="N114" s="20">
        <f>IF(H114=0,0,L114/H114)</f>
        <v>3.6075871412735556</v>
      </c>
      <c r="O114" s="12"/>
      <c r="P114" s="3">
        <f>--3867.63</f>
        <v>3867.63</v>
      </c>
      <c r="Q114" s="3"/>
      <c r="R114" s="20">
        <f>IF(P$12=0,0,P114/P$12)</f>
        <v>1.8170941140377827E-3</v>
      </c>
      <c r="S114" s="3"/>
      <c r="T114" s="3">
        <f>--3313.45</f>
        <v>3313.45</v>
      </c>
      <c r="U114" s="3"/>
      <c r="V114" s="20">
        <f>IF(T$12=0,0,T114/T$12)</f>
        <v>1.2555748354451226E-3</v>
      </c>
      <c r="W114" s="3"/>
      <c r="X114" s="3">
        <f>+P114-T114</f>
        <v>554.18000000000029</v>
      </c>
      <c r="Y114" s="3"/>
      <c r="Z114" s="20">
        <f>IF(T114=0,0,X114/T114)</f>
        <v>0.16725165612880843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2" customFormat="1" ht="15" customHeight="1" x14ac:dyDescent="0.3">
      <c r="A116" s="11"/>
      <c r="B116" s="28" t="s">
        <v>291</v>
      </c>
      <c r="C116" s="28"/>
      <c r="D116" s="23">
        <f>+D58-D60+D111</f>
        <v>173364.49</v>
      </c>
      <c r="E116" s="15"/>
      <c r="F116" s="22">
        <f>IF(D$12=0,0,D116/D$12)</f>
        <v>0.97116494593161262</v>
      </c>
      <c r="G116" s="15"/>
      <c r="H116" s="23">
        <f>+H58-H60+H111</f>
        <v>129998.30999999998</v>
      </c>
      <c r="I116" s="15"/>
      <c r="J116" s="22">
        <f>IF(H$12=0,0,H116/H$12)</f>
        <v>1.6648706321070892</v>
      </c>
      <c r="K116" s="17"/>
      <c r="L116" s="23">
        <f>+D116-H116</f>
        <v>43366.180000000008</v>
      </c>
      <c r="M116" s="17"/>
      <c r="N116" s="22">
        <f>IF(H116=0,0,L116/H116)</f>
        <v>0.33359033667437687</v>
      </c>
      <c r="O116" s="27"/>
      <c r="P116" s="23">
        <f>+P58-P60+P111</f>
        <v>478948.84</v>
      </c>
      <c r="Q116" s="15"/>
      <c r="R116" s="22">
        <f>IF(P$12=0,0,P116/P$12)</f>
        <v>0.22502026256110946</v>
      </c>
      <c r="S116" s="15"/>
      <c r="T116" s="23">
        <f>+T58-T60+T111</f>
        <v>739160.75999999978</v>
      </c>
      <c r="U116" s="15"/>
      <c r="V116" s="22">
        <f>IF(T$12=0,0,T116/T$12)</f>
        <v>0.28009224512350922</v>
      </c>
      <c r="W116" s="17"/>
      <c r="X116" s="23">
        <f>+P116-T116</f>
        <v>-260211.91999999975</v>
      </c>
      <c r="Y116" s="17"/>
      <c r="Z116" s="22">
        <f>IF(T116=0,0,X116/T116)</f>
        <v>-0.35203697772051623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48"/>
      <c r="B118" s="11" t="s">
        <v>292</v>
      </c>
      <c r="C118" s="11"/>
      <c r="D118" s="5">
        <v>7570.53</v>
      </c>
      <c r="E118" s="5"/>
      <c r="F118" s="13">
        <f>IF(D$12=0,0,D118/D$12)</f>
        <v>4.2409107875111283E-2</v>
      </c>
      <c r="G118" s="5"/>
      <c r="H118" s="5">
        <v>57742.07</v>
      </c>
      <c r="I118" s="5"/>
      <c r="J118" s="13">
        <f>IF(H$12=0,0,H118/H$12)</f>
        <v>0.73949481789472349</v>
      </c>
      <c r="K118" s="5"/>
      <c r="L118" s="5">
        <f>+D118-H118</f>
        <v>-50171.54</v>
      </c>
      <c r="M118" s="5"/>
      <c r="N118" s="13">
        <f>IF(H118=0,0,L118/H118)</f>
        <v>-0.86889056800353714</v>
      </c>
      <c r="O118" s="11"/>
      <c r="P118" s="5">
        <v>265681.36</v>
      </c>
      <c r="Q118" s="5"/>
      <c r="R118" s="13">
        <f>IF(P$12=0,0,P118/P$12)</f>
        <v>0.12482270420530225</v>
      </c>
      <c r="S118" s="5"/>
      <c r="T118" s="5">
        <v>522614.5</v>
      </c>
      <c r="U118" s="5"/>
      <c r="V118" s="13">
        <f>IF(T$12=0,0,T118/T$12)</f>
        <v>0.19803576780658683</v>
      </c>
      <c r="W118" s="5"/>
      <c r="X118" s="5">
        <f>+P118-T118</f>
        <v>-256933.14</v>
      </c>
      <c r="Y118" s="5"/>
      <c r="Z118" s="13">
        <f>IF(T118=0,0,X118/T118)</f>
        <v>-0.49163033172634901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2" customFormat="1" ht="15" customHeight="1" x14ac:dyDescent="0.3">
      <c r="A120" s="11"/>
      <c r="B120" s="28" t="s">
        <v>293</v>
      </c>
      <c r="C120" s="28"/>
      <c r="D120" s="33">
        <f>+D116-D118</f>
        <v>165793.96</v>
      </c>
      <c r="E120" s="15"/>
      <c r="F120" s="34">
        <f>IF(D$12=0,0,D120/D$12)</f>
        <v>0.9287558380565013</v>
      </c>
      <c r="G120" s="15"/>
      <c r="H120" s="33">
        <f>+H116-H118</f>
        <v>72256.239999999991</v>
      </c>
      <c r="I120" s="15"/>
      <c r="J120" s="34">
        <f>IF(H$12=0,0,H120/H$12)</f>
        <v>0.92537581421236592</v>
      </c>
      <c r="K120" s="17"/>
      <c r="L120" s="33">
        <f>D120-H120</f>
        <v>93537.72</v>
      </c>
      <c r="M120" s="17"/>
      <c r="N120" s="34">
        <f>IF(H120=0,0,L120/H120)</f>
        <v>1.2945279189728114</v>
      </c>
      <c r="O120" s="27"/>
      <c r="P120" s="33">
        <f>+P116-P118</f>
        <v>213267.48000000004</v>
      </c>
      <c r="Q120" s="15"/>
      <c r="R120" s="34">
        <f>IF(P$12=0,0,P120/P$12)</f>
        <v>0.1001975583558072</v>
      </c>
      <c r="S120" s="15"/>
      <c r="T120" s="33">
        <f>+T116-T118</f>
        <v>216546.25999999978</v>
      </c>
      <c r="U120" s="15"/>
      <c r="V120" s="34">
        <f>IF(T$12=0,0,T120/T$12)</f>
        <v>8.205647731692238E-2</v>
      </c>
      <c r="W120" s="17"/>
      <c r="X120" s="33">
        <f>P120-T120</f>
        <v>-3278.7799999997369</v>
      </c>
      <c r="Y120" s="17"/>
      <c r="Z120" s="34">
        <f>IF(T120=0,0,X120/T120)</f>
        <v>-1.514124510854974E-2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8" t="s">
        <v>296</v>
      </c>
      <c r="C123" s="28"/>
      <c r="D123" s="35">
        <f>SUM(D120:D122)</f>
        <v>165793.96</v>
      </c>
      <c r="E123" s="15"/>
      <c r="F123" s="29">
        <f>IF(D$12=0,0,D123/D$12)</f>
        <v>0.9287558380565013</v>
      </c>
      <c r="G123" s="15"/>
      <c r="H123" s="35">
        <f>SUM(H120:H122)</f>
        <v>72256.239999999991</v>
      </c>
      <c r="I123" s="15"/>
      <c r="J123" s="29">
        <f>IF(H$12=0,0,H123/H$12)</f>
        <v>0.92537581421236592</v>
      </c>
      <c r="K123" s="17"/>
      <c r="L123" s="35">
        <f>+D123-H123</f>
        <v>93537.72</v>
      </c>
      <c r="M123" s="17"/>
      <c r="N123" s="29">
        <f>IF(H123=0,0,L123/H123)</f>
        <v>1.2945279189728114</v>
      </c>
      <c r="O123" s="27"/>
      <c r="P123" s="35">
        <f>SUM(P120:P122)</f>
        <v>213267.48000000004</v>
      </c>
      <c r="Q123" s="15"/>
      <c r="R123" s="29">
        <f>IF(P$12=0,0,P123/P$12)</f>
        <v>0.1001975583558072</v>
      </c>
      <c r="S123" s="15"/>
      <c r="T123" s="35">
        <f>SUM(T120:T122)</f>
        <v>216546.25999999978</v>
      </c>
      <c r="U123" s="15"/>
      <c r="V123" s="29">
        <f>IF(T$12=0,0,T123/T$12)</f>
        <v>8.205647731692238E-2</v>
      </c>
      <c r="W123" s="17"/>
      <c r="X123" s="35">
        <f>+P123-T123</f>
        <v>-3278.7799999997369</v>
      </c>
      <c r="Y123" s="17"/>
      <c r="Z123" s="29">
        <f>IF(T123=0,0,X123/T123)</f>
        <v>-1.514124510854974E-2</v>
      </c>
    </row>
    <row r="124" spans="1:26" ht="15" customHeight="1" x14ac:dyDescent="0.3">
      <c r="A124" s="10"/>
      <c r="C124" s="10"/>
      <c r="D124" s="18"/>
      <c r="E124" s="18"/>
      <c r="G124" s="18"/>
      <c r="H124" s="18"/>
      <c r="I124" s="18"/>
      <c r="J124" s="41"/>
      <c r="K124" s="18"/>
      <c r="L124" s="18"/>
      <c r="M124" s="18"/>
      <c r="P124" s="18"/>
      <c r="Q124" s="18"/>
      <c r="R124" s="41"/>
      <c r="S124" s="18"/>
      <c r="T124" s="18"/>
      <c r="U124" s="18"/>
      <c r="V124" s="41"/>
      <c r="W124" s="18"/>
      <c r="X124" s="18"/>
    </row>
    <row r="125" spans="1:26" ht="15" customHeight="1" x14ac:dyDescent="0.3">
      <c r="A125" s="10"/>
      <c r="B125" s="50">
        <v>44634.887756944445</v>
      </c>
      <c r="D125" s="18"/>
      <c r="E125" s="18"/>
      <c r="G125" s="18"/>
      <c r="H125" s="18"/>
      <c r="I125" s="18"/>
      <c r="J125" s="41"/>
      <c r="K125" s="18"/>
      <c r="L125" s="18"/>
      <c r="M125" s="18"/>
      <c r="P125" s="18"/>
      <c r="Q125" s="18"/>
      <c r="R125" s="41"/>
      <c r="S125" s="18"/>
      <c r="T125" s="18"/>
      <c r="U125" s="18"/>
      <c r="V125" s="41"/>
      <c r="W125" s="18"/>
      <c r="X125" s="18"/>
    </row>
    <row r="126" spans="1:26" ht="15" customHeight="1" x14ac:dyDescent="0.3">
      <c r="A126" s="10"/>
      <c r="B126" s="58" t="s">
        <v>297</v>
      </c>
      <c r="D126" s="18"/>
      <c r="E126" s="18"/>
      <c r="G126" s="18"/>
      <c r="H126" s="18"/>
      <c r="I126" s="18"/>
      <c r="J126" s="41"/>
      <c r="K126" s="18"/>
      <c r="L126" s="18"/>
      <c r="M126" s="18"/>
      <c r="P126" s="18"/>
      <c r="Q126" s="18"/>
      <c r="R126" s="41"/>
      <c r="S126" s="18"/>
      <c r="T126" s="18"/>
      <c r="U126" s="18"/>
      <c r="V126" s="41"/>
      <c r="W126" s="18"/>
      <c r="X126" s="18"/>
    </row>
    <row r="127" spans="1:26" ht="15" customHeight="1" x14ac:dyDescent="0.3">
      <c r="A127" s="10"/>
      <c r="B127" s="56"/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3"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E413E-AB4F-1D96-60B2-95049DFE62AB}">
  <sheetPr>
    <tabColor rgb="FF92D050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","311"," - ","Textbooks")</f>
        <v>Department 311 - Textbooks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143919.13</v>
      </c>
      <c r="E12" s="5"/>
      <c r="F12" s="13"/>
      <c r="G12" s="5"/>
      <c r="H12" s="5">
        <f>SUM(OSRRefH13x_0)</f>
        <v>62437.9</v>
      </c>
      <c r="I12" s="5"/>
      <c r="J12" s="13"/>
      <c r="K12" s="5"/>
      <c r="L12" s="5">
        <f t="shared" ref="L12:L37" si="0">+D12-H12</f>
        <v>81481.23000000001</v>
      </c>
      <c r="M12" s="5"/>
      <c r="N12" s="13">
        <f t="shared" ref="N12:N37" si="1">IF(H12=0,0,L12/H12)</f>
        <v>1.3049963243478722</v>
      </c>
      <c r="O12" s="11"/>
      <c r="P12" s="5">
        <f>SUM(OSRRefP13x_0)</f>
        <v>1692438.05</v>
      </c>
      <c r="Q12" s="5"/>
      <c r="R12" s="13"/>
      <c r="S12" s="5"/>
      <c r="T12" s="5">
        <f>SUM(OSRRefT13x_0)</f>
        <v>1866073.4499999997</v>
      </c>
      <c r="U12" s="5"/>
      <c r="V12" s="13"/>
      <c r="W12" s="5"/>
      <c r="X12" s="5">
        <f t="shared" ref="X12:X37" si="2">+P12-T12</f>
        <v>-173635.39999999967</v>
      </c>
      <c r="Y12" s="5"/>
      <c r="Z12" s="13">
        <f t="shared" ref="Z12:Z37" si="3">IF(T12=0,0,X12/T12)</f>
        <v>-9.3048534611539377E-2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--116339.58</f>
        <v>116339.58</v>
      </c>
      <c r="E13" s="3"/>
      <c r="F13" s="20"/>
      <c r="G13" s="3"/>
      <c r="H13" s="3">
        <f>-296.28</f>
        <v>-296.27999999999997</v>
      </c>
      <c r="I13" s="3"/>
      <c r="J13" s="20"/>
      <c r="K13" s="3"/>
      <c r="L13" s="3">
        <f t="shared" si="0"/>
        <v>116635.86</v>
      </c>
      <c r="M13" s="3"/>
      <c r="N13" s="20">
        <f t="shared" si="1"/>
        <v>-393.66767922235726</v>
      </c>
      <c r="O13" s="12"/>
      <c r="P13" s="3">
        <f>--1331040.96</f>
        <v>1331040.96</v>
      </c>
      <c r="Q13" s="3"/>
      <c r="R13" s="20"/>
      <c r="S13" s="3"/>
      <c r="T13" s="3">
        <f>-8057.31</f>
        <v>-8057.31</v>
      </c>
      <c r="U13" s="3"/>
      <c r="V13" s="20"/>
      <c r="W13" s="3"/>
      <c r="X13" s="3">
        <f t="shared" si="2"/>
        <v>1339098.27</v>
      </c>
      <c r="Y13" s="3"/>
      <c r="Z13" s="20">
        <f t="shared" si="3"/>
        <v>-166.19669219627889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--28416.36</f>
        <v>28416.36</v>
      </c>
      <c r="I14" s="3"/>
      <c r="J14" s="20"/>
      <c r="K14" s="3"/>
      <c r="L14" s="3">
        <f t="shared" si="0"/>
        <v>-28416.36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--962018.08</f>
        <v>962018.08</v>
      </c>
      <c r="U14" s="3"/>
      <c r="V14" s="20"/>
      <c r="W14" s="3"/>
      <c r="X14" s="3">
        <f t="shared" si="2"/>
        <v>-962018.08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--8916.76</f>
        <v>8916.76</v>
      </c>
      <c r="I15" s="3"/>
      <c r="J15" s="20"/>
      <c r="K15" s="3"/>
      <c r="L15" s="3">
        <f t="shared" si="0"/>
        <v>-8916.76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--349096.97</f>
        <v>349096.97</v>
      </c>
      <c r="U15" s="3"/>
      <c r="V15" s="20"/>
      <c r="W15" s="3"/>
      <c r="X15" s="3">
        <f t="shared" si="2"/>
        <v>-349096.97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--40</f>
        <v>40</v>
      </c>
      <c r="I16" s="3"/>
      <c r="J16" s="20"/>
      <c r="K16" s="3"/>
      <c r="L16" s="3">
        <f t="shared" si="0"/>
        <v>-40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--17927.89</f>
        <v>17927.89</v>
      </c>
      <c r="U16" s="3"/>
      <c r="V16" s="20"/>
      <c r="W16" s="3"/>
      <c r="X16" s="3">
        <f t="shared" si="2"/>
        <v>-17927.89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--242.29</f>
        <v>242.29</v>
      </c>
      <c r="I18" s="3"/>
      <c r="J18" s="20"/>
      <c r="K18" s="3"/>
      <c r="L18" s="3">
        <f t="shared" si="0"/>
        <v>-242.29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--1172.81</f>
        <v>1172.81</v>
      </c>
      <c r="U18" s="3"/>
      <c r="V18" s="20"/>
      <c r="W18" s="3"/>
      <c r="X18" s="3">
        <f t="shared" si="2"/>
        <v>-1172.81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--31.84</f>
        <v>31.84</v>
      </c>
      <c r="I19" s="3"/>
      <c r="J19" s="20"/>
      <c r="K19" s="3"/>
      <c r="L19" s="3">
        <f t="shared" si="0"/>
        <v>-31.84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--411.88</f>
        <v>411.88</v>
      </c>
      <c r="U19" s="3"/>
      <c r="V19" s="20"/>
      <c r="W19" s="3"/>
      <c r="X19" s="3">
        <f t="shared" si="2"/>
        <v>-411.88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--41.7</f>
        <v>41.7</v>
      </c>
      <c r="I20" s="3"/>
      <c r="J20" s="20"/>
      <c r="K20" s="3"/>
      <c r="L20" s="3">
        <f t="shared" si="0"/>
        <v>-41.7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--332.84</f>
        <v>332.84</v>
      </c>
      <c r="U20" s="3"/>
      <c r="V20" s="20"/>
      <c r="W20" s="3"/>
      <c r="X20" s="3">
        <f t="shared" si="2"/>
        <v>-332.84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--38907.31</f>
        <v>38907.31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38907.31</v>
      </c>
      <c r="M21" s="3"/>
      <c r="N21" s="20">
        <f t="shared" si="1"/>
        <v>0</v>
      </c>
      <c r="O21" s="12"/>
      <c r="P21" s="3">
        <f>--448791.29</f>
        <v>448791.29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448791.29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--6785.91</f>
        <v>6785.91</v>
      </c>
      <c r="I22" s="3"/>
      <c r="J22" s="20"/>
      <c r="K22" s="3"/>
      <c r="L22" s="3">
        <f t="shared" si="0"/>
        <v>-6785.91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--111011.54</f>
        <v>111011.54</v>
      </c>
      <c r="U22" s="3"/>
      <c r="V22" s="20"/>
      <c r="W22" s="3"/>
      <c r="X22" s="3">
        <f t="shared" si="2"/>
        <v>-111011.54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--3426.05</f>
        <v>3426.05</v>
      </c>
      <c r="I23" s="3"/>
      <c r="J23" s="20"/>
      <c r="K23" s="3"/>
      <c r="L23" s="3">
        <f t="shared" si="0"/>
        <v>-3426.05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--46387.37</f>
        <v>46387.37</v>
      </c>
      <c r="U23" s="3"/>
      <c r="V23" s="20"/>
      <c r="W23" s="3"/>
      <c r="X23" s="3">
        <f t="shared" si="2"/>
        <v>-46387.37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--17705.92</f>
        <v>17705.919999999998</v>
      </c>
      <c r="I25" s="3"/>
      <c r="J25" s="20"/>
      <c r="K25" s="3"/>
      <c r="L25" s="3">
        <f t="shared" si="0"/>
        <v>-17705.919999999998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--475874.05</f>
        <v>475874.05</v>
      </c>
      <c r="U25" s="3"/>
      <c r="V25" s="20"/>
      <c r="W25" s="3"/>
      <c r="X25" s="3">
        <f t="shared" si="2"/>
        <v>-475874.05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--3150</f>
        <v>3150</v>
      </c>
      <c r="I26" s="3"/>
      <c r="J26" s="20"/>
      <c r="K26" s="3"/>
      <c r="L26" s="3">
        <f t="shared" si="0"/>
        <v>-3150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--10139.25</f>
        <v>10139.25</v>
      </c>
      <c r="U26" s="3"/>
      <c r="V26" s="20"/>
      <c r="W26" s="3"/>
      <c r="X26" s="3">
        <f t="shared" si="2"/>
        <v>-10139.25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-4194.35</f>
        <v>-4194.3500000000004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-4194.3500000000004</v>
      </c>
      <c r="M28" s="3"/>
      <c r="N28" s="20">
        <f t="shared" si="1"/>
        <v>0</v>
      </c>
      <c r="O28" s="12"/>
      <c r="P28" s="3">
        <f>-50832.81</f>
        <v>-50832.81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-50832.81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-2146.49</f>
        <v>-2146.4899999999998</v>
      </c>
      <c r="I29" s="3"/>
      <c r="J29" s="20"/>
      <c r="K29" s="3"/>
      <c r="L29" s="3">
        <f t="shared" si="0"/>
        <v>2146.4899999999998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-50664.23</f>
        <v>-50664.23</v>
      </c>
      <c r="U29" s="3"/>
      <c r="V29" s="20"/>
      <c r="W29" s="3"/>
      <c r="X29" s="3">
        <f t="shared" si="2"/>
        <v>50664.23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-1199.21</f>
        <v>-1199.21</v>
      </c>
      <c r="I30" s="3"/>
      <c r="J30" s="20"/>
      <c r="K30" s="3"/>
      <c r="L30" s="3">
        <f t="shared" si="0"/>
        <v>1199.21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-19735.51</f>
        <v>-19735.509999999998</v>
      </c>
      <c r="U30" s="3"/>
      <c r="V30" s="20"/>
      <c r="W30" s="3"/>
      <c r="X30" s="3">
        <f t="shared" si="2"/>
        <v>19735.509999999998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-132.25</f>
        <v>-132.25</v>
      </c>
      <c r="I31" s="3"/>
      <c r="J31" s="20"/>
      <c r="K31" s="3"/>
      <c r="L31" s="3">
        <f t="shared" si="0"/>
        <v>132.25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-69.93</f>
        <v>-69.930000000000007</v>
      </c>
      <c r="I32" s="3"/>
      <c r="J32" s="20"/>
      <c r="K32" s="3"/>
      <c r="L32" s="3">
        <f t="shared" si="0"/>
        <v>69.930000000000007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","4300"," - ","NON-TAX RETURNS")</f>
        <v xml:space="preserve">          4300 - NON-TAX RETURNS</v>
      </c>
      <c r="C33" s="12"/>
      <c r="D33" s="3">
        <f>-2947.38</f>
        <v>-2947.38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-2947.38</v>
      </c>
      <c r="M33" s="3"/>
      <c r="N33" s="20">
        <f t="shared" si="1"/>
        <v>0</v>
      </c>
      <c r="O33" s="12"/>
      <c r="P33" s="3">
        <f>-29348.67</f>
        <v>-29348.67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-29348.67</v>
      </c>
      <c r="Y33" s="3"/>
      <c r="Z33" s="20">
        <f t="shared" si="3"/>
        <v>0</v>
      </c>
    </row>
    <row r="34" spans="1:26" s="69" customFormat="1" ht="15" hidden="1" customHeight="1" outlineLevel="1" x14ac:dyDescent="0.3">
      <c r="A34" s="42"/>
      <c r="B34" s="12" t="str">
        <f>CONCATENATE("          ","4301"," - ","SALES RETURN NON TAXABLE-NEW T")</f>
        <v xml:space="preserve">          4301 - SALES RETURN NON TAXABLE-NEW T</v>
      </c>
      <c r="C34" s="12"/>
      <c r="D34" s="3">
        <f>0</f>
        <v>0</v>
      </c>
      <c r="E34" s="3"/>
      <c r="F34" s="20"/>
      <c r="G34" s="3"/>
      <c r="H34" s="3">
        <f>-231.5</f>
        <v>-231.5</v>
      </c>
      <c r="I34" s="3"/>
      <c r="J34" s="20"/>
      <c r="K34" s="3"/>
      <c r="L34" s="3">
        <f t="shared" si="0"/>
        <v>231.5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-3237.29</f>
        <v>-3237.29</v>
      </c>
      <c r="U34" s="3"/>
      <c r="V34" s="20"/>
      <c r="W34" s="3"/>
      <c r="X34" s="3">
        <f t="shared" si="2"/>
        <v>3237.29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","4302"," - ","SALES RETURN NON TAXABLE-TEXT")</f>
        <v xml:space="preserve">          4302 - SALES RETURN NON TAXABLE-TEXT</v>
      </c>
      <c r="C35" s="12"/>
      <c r="D35" s="3">
        <f>0</f>
        <v>0</v>
      </c>
      <c r="E35" s="3"/>
      <c r="F35" s="20"/>
      <c r="G35" s="3"/>
      <c r="H35" s="3">
        <f>-70.32</f>
        <v>-70.319999999999993</v>
      </c>
      <c r="I35" s="3"/>
      <c r="J35" s="20"/>
      <c r="K35" s="3"/>
      <c r="L35" s="3">
        <f t="shared" si="0"/>
        <v>70.319999999999993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-2073.48</f>
        <v>-2073.48</v>
      </c>
      <c r="U35" s="3"/>
      <c r="V35" s="20"/>
      <c r="W35" s="3"/>
      <c r="X35" s="3">
        <f t="shared" si="2"/>
        <v>2073.48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","4304"," - ","SALES RETURN NON TAXABLE-DIGIT")</f>
        <v xml:space="preserve">          4304 - SALES RETURN NON TAXABLE-DIGIT</v>
      </c>
      <c r="C36" s="12"/>
      <c r="D36" s="3">
        <f>0</f>
        <v>0</v>
      </c>
      <c r="E36" s="3"/>
      <c r="F36" s="20"/>
      <c r="G36" s="3"/>
      <c r="H36" s="3">
        <f>-2172.95</f>
        <v>-2172.9499999999998</v>
      </c>
      <c r="I36" s="3"/>
      <c r="J36" s="20"/>
      <c r="K36" s="3"/>
      <c r="L36" s="3">
        <f t="shared" si="0"/>
        <v>2172.9499999999998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-27268.72</f>
        <v>-27268.720000000001</v>
      </c>
      <c r="U36" s="3"/>
      <c r="V36" s="20"/>
      <c r="W36" s="3"/>
      <c r="X36" s="3">
        <f t="shared" si="2"/>
        <v>27268.720000000001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","4500"," - ","SALES DISCOUNT")</f>
        <v xml:space="preserve">          4500 - SALES DISCOUNT</v>
      </c>
      <c r="C37" s="12"/>
      <c r="D37" s="3">
        <f>-4186.03</f>
        <v>-4186.03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-4186.03</v>
      </c>
      <c r="M37" s="3"/>
      <c r="N37" s="20">
        <f t="shared" si="1"/>
        <v>0</v>
      </c>
      <c r="O37" s="12"/>
      <c r="P37" s="3">
        <f>-7212.72</f>
        <v>-7212.72</v>
      </c>
      <c r="Q37" s="3"/>
      <c r="R37" s="20"/>
      <c r="S37" s="3"/>
      <c r="T37" s="3">
        <f>0</f>
        <v>0</v>
      </c>
      <c r="U37" s="3"/>
      <c r="V37" s="20"/>
      <c r="W37" s="3"/>
      <c r="X37" s="3">
        <f t="shared" si="2"/>
        <v>-7212.72</v>
      </c>
      <c r="Y37" s="3"/>
      <c r="Z37" s="20">
        <f t="shared" si="3"/>
        <v>0</v>
      </c>
    </row>
    <row r="38" spans="1:26" ht="15" customHeight="1" x14ac:dyDescent="0.3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collapsed="1" x14ac:dyDescent="0.3">
      <c r="A39" s="11"/>
      <c r="B39" s="27" t="s">
        <v>287</v>
      </c>
      <c r="C39" s="11"/>
      <c r="D39" s="5">
        <f>SUM(OSRRefD16x_0)</f>
        <v>96980.380000000019</v>
      </c>
      <c r="E39" s="5"/>
      <c r="F39" s="13">
        <f t="shared" ref="F39:F56" si="4">IF(D$12=0,0,D39/D$12)</f>
        <v>0.67385329524990889</v>
      </c>
      <c r="G39" s="5"/>
      <c r="H39" s="5">
        <f>SUM(OSRRefH16x_0)</f>
        <v>41956.999999999978</v>
      </c>
      <c r="I39" s="5"/>
      <c r="J39" s="13">
        <f t="shared" ref="J39:J56" si="5">IF(H$12=0,0,H39/H$12)</f>
        <v>0.67197967900906308</v>
      </c>
      <c r="K39" s="5"/>
      <c r="L39" s="5">
        <f t="shared" ref="L39:L56" si="6">+D39-H39</f>
        <v>55023.380000000041</v>
      </c>
      <c r="M39" s="5"/>
      <c r="N39" s="13">
        <f t="shared" ref="N39:N56" si="7">IF(H39=0,0,L39/H39)</f>
        <v>1.3114231236742395</v>
      </c>
      <c r="O39" s="11"/>
      <c r="P39" s="5">
        <f>SUM(OSRRefP16x_0)</f>
        <v>1314870.55</v>
      </c>
      <c r="Q39" s="5"/>
      <c r="R39" s="13">
        <f t="shared" ref="R39:R56" si="8">IF(P$12=0,0,P39/P$12)</f>
        <v>0.77690911640754001</v>
      </c>
      <c r="S39" s="5"/>
      <c r="T39" s="5">
        <f>SUM(OSRRefT16x_0)</f>
        <v>1321408.0000000002</v>
      </c>
      <c r="U39" s="5"/>
      <c r="V39" s="13">
        <f t="shared" ref="V39:V56" si="9">IF(T$12=0,0,T39/T$12)</f>
        <v>0.70812218029252838</v>
      </c>
      <c r="W39" s="5"/>
      <c r="X39" s="5">
        <f t="shared" ref="X39:X56" si="10">+P39-T39</f>
        <v>-6537.4500000001863</v>
      </c>
      <c r="Y39" s="5"/>
      <c r="Z39" s="13">
        <f t="shared" ref="Z39:Z56" si="11">IF(T39=0,0,X39/T39)</f>
        <v>-4.9473364774544918E-3</v>
      </c>
    </row>
    <row r="40" spans="1:26" s="69" customFormat="1" ht="15" hidden="1" customHeight="1" outlineLevel="1" x14ac:dyDescent="0.3">
      <c r="A40" s="42"/>
      <c r="B40" s="12" t="str">
        <f>CONCATENATE("          ","5000"," - ","PURCHASES @ COST")</f>
        <v xml:space="preserve">          5000 - PURCHASES @ COST</v>
      </c>
      <c r="C40" s="12"/>
      <c r="D40" s="3">
        <v>145152.23000000001</v>
      </c>
      <c r="E40" s="3"/>
      <c r="F40" s="20">
        <f t="shared" si="4"/>
        <v>1.0085680062129336</v>
      </c>
      <c r="G40" s="3"/>
      <c r="H40" s="3"/>
      <c r="I40" s="3"/>
      <c r="J40" s="20">
        <f t="shared" si="5"/>
        <v>0</v>
      </c>
      <c r="K40" s="3"/>
      <c r="L40" s="3">
        <f t="shared" si="6"/>
        <v>145152.23000000001</v>
      </c>
      <c r="M40" s="3"/>
      <c r="N40" s="20">
        <f t="shared" si="7"/>
        <v>0</v>
      </c>
      <c r="O40" s="12"/>
      <c r="P40" s="3">
        <v>1558843.19</v>
      </c>
      <c r="Q40" s="3"/>
      <c r="R40" s="20">
        <f t="shared" si="8"/>
        <v>0.9210636631574195</v>
      </c>
      <c r="S40" s="3"/>
      <c r="T40" s="3">
        <v>0</v>
      </c>
      <c r="U40" s="3"/>
      <c r="V40" s="20">
        <f t="shared" si="9"/>
        <v>0</v>
      </c>
      <c r="W40" s="3"/>
      <c r="X40" s="3">
        <f t="shared" si="10"/>
        <v>1558843.19</v>
      </c>
      <c r="Y40" s="3"/>
      <c r="Z40" s="20">
        <f t="shared" si="11"/>
        <v>0</v>
      </c>
    </row>
    <row r="41" spans="1:26" s="69" customFormat="1" ht="15" hidden="1" customHeight="1" outlineLevel="1" x14ac:dyDescent="0.3">
      <c r="A41" s="42"/>
      <c r="B41" s="12" t="str">
        <f>CONCATENATE("          ","5001"," - ","PURCHASES @ COST-NEW TEXT")</f>
        <v xml:space="preserve">          5001 - PURCHASES @ COST-NEW TEXT</v>
      </c>
      <c r="C41" s="12"/>
      <c r="D41" s="3"/>
      <c r="E41" s="3"/>
      <c r="F41" s="20">
        <f t="shared" si="4"/>
        <v>0</v>
      </c>
      <c r="G41" s="3"/>
      <c r="H41" s="3">
        <v>-339987.31</v>
      </c>
      <c r="I41" s="3"/>
      <c r="J41" s="20">
        <f t="shared" si="5"/>
        <v>-5.445207317991156</v>
      </c>
      <c r="K41" s="3"/>
      <c r="L41" s="3">
        <f t="shared" si="6"/>
        <v>339987.31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1026210.74</v>
      </c>
      <c r="U41" s="3"/>
      <c r="V41" s="20">
        <f t="shared" si="9"/>
        <v>0.54993051854416564</v>
      </c>
      <c r="W41" s="3"/>
      <c r="X41" s="3">
        <f t="shared" si="10"/>
        <v>-1026210.74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","5002"," - ","PURCHASES @ COST-USED TEXT")</f>
        <v xml:space="preserve">          5002 - PURCHASES @ COST-USED TEXT</v>
      </c>
      <c r="C42" s="12"/>
      <c r="D42" s="3"/>
      <c r="E42" s="3"/>
      <c r="F42" s="20">
        <f t="shared" si="4"/>
        <v>0</v>
      </c>
      <c r="G42" s="3"/>
      <c r="H42" s="3">
        <v>117407.3</v>
      </c>
      <c r="I42" s="3"/>
      <c r="J42" s="20">
        <f t="shared" si="5"/>
        <v>1.8803851506857214</v>
      </c>
      <c r="K42" s="3"/>
      <c r="L42" s="3">
        <f t="shared" si="6"/>
        <v>-117407.3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140429.76999999999</v>
      </c>
      <c r="U42" s="3"/>
      <c r="V42" s="20">
        <f t="shared" si="9"/>
        <v>7.5254149294069858E-2</v>
      </c>
      <c r="W42" s="3"/>
      <c r="X42" s="3">
        <f t="shared" si="10"/>
        <v>-140429.76999999999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","5003"," - ","PURCHASES @ COST-RENTAL TEXT")</f>
        <v xml:space="preserve">          5003 - PURCHASES @ COST-RENTAL TEXT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/>
      <c r="Q43" s="3"/>
      <c r="R43" s="20">
        <f t="shared" si="8"/>
        <v>0</v>
      </c>
      <c r="S43" s="3"/>
      <c r="T43" s="3">
        <v>32.520000000000003</v>
      </c>
      <c r="U43" s="3"/>
      <c r="V43" s="20">
        <f t="shared" si="9"/>
        <v>1.7426966768108729E-5</v>
      </c>
      <c r="W43" s="3"/>
      <c r="X43" s="3">
        <f t="shared" si="10"/>
        <v>-32.520000000000003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","5004"," - ","PURCHASES @ COST-DIGITAL TEXT")</f>
        <v xml:space="preserve">          5004 - PURCHASES @ COST-DIGITAL TEXT</v>
      </c>
      <c r="C44" s="12"/>
      <c r="D44" s="3"/>
      <c r="E44" s="3"/>
      <c r="F44" s="20">
        <f t="shared" si="4"/>
        <v>0</v>
      </c>
      <c r="G44" s="3"/>
      <c r="H44" s="3">
        <v>3282.02</v>
      </c>
      <c r="I44" s="3"/>
      <c r="J44" s="20">
        <f t="shared" si="5"/>
        <v>5.2564548135026964E-2</v>
      </c>
      <c r="K44" s="3"/>
      <c r="L44" s="3">
        <f t="shared" si="6"/>
        <v>-3282.02</v>
      </c>
      <c r="M44" s="3"/>
      <c r="N44" s="20">
        <f t="shared" si="7"/>
        <v>-1</v>
      </c>
      <c r="O44" s="12"/>
      <c r="P44" s="3">
        <v>0</v>
      </c>
      <c r="Q44" s="3"/>
      <c r="R44" s="20">
        <f t="shared" si="8"/>
        <v>0</v>
      </c>
      <c r="S44" s="3"/>
      <c r="T44" s="3">
        <v>220008.58</v>
      </c>
      <c r="U44" s="3"/>
      <c r="V44" s="20">
        <f t="shared" si="9"/>
        <v>0.11789920702210302</v>
      </c>
      <c r="W44" s="3"/>
      <c r="X44" s="3">
        <f t="shared" si="10"/>
        <v>-220008.58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","5011"," - ","PURCHASES @ COST-NO VALUE TEXT")</f>
        <v xml:space="preserve">          5011 - PURCHASES @ COST-NO VALUE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67.17</v>
      </c>
      <c r="U45" s="3"/>
      <c r="V45" s="20">
        <f t="shared" si="9"/>
        <v>3.5995367706453363E-5</v>
      </c>
      <c r="W45" s="3"/>
      <c r="X45" s="3">
        <f t="shared" si="10"/>
        <v>-67.17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","5013"," - ","PURCHASES @ COST-TRADE BOOKS")</f>
        <v xml:space="preserve">          5013 - PURCHASES @ COST-TRADE BOOKS</v>
      </c>
      <c r="C46" s="12"/>
      <c r="D46" s="3"/>
      <c r="E46" s="3"/>
      <c r="F46" s="20">
        <f t="shared" si="4"/>
        <v>0</v>
      </c>
      <c r="G46" s="3"/>
      <c r="H46" s="3">
        <v>305.11</v>
      </c>
      <c r="I46" s="3"/>
      <c r="J46" s="20">
        <f t="shared" si="5"/>
        <v>4.8866153410028201E-3</v>
      </c>
      <c r="K46" s="3"/>
      <c r="L46" s="3">
        <f t="shared" si="6"/>
        <v>-305.11</v>
      </c>
      <c r="M46" s="3"/>
      <c r="N46" s="20">
        <f t="shared" si="7"/>
        <v>-1</v>
      </c>
      <c r="O46" s="12"/>
      <c r="P46" s="3"/>
      <c r="Q46" s="3"/>
      <c r="R46" s="20">
        <f t="shared" si="8"/>
        <v>0</v>
      </c>
      <c r="S46" s="3"/>
      <c r="T46" s="3">
        <v>5962.09</v>
      </c>
      <c r="U46" s="3"/>
      <c r="V46" s="20">
        <f t="shared" si="9"/>
        <v>3.1949921370994271E-3</v>
      </c>
      <c r="W46" s="3"/>
      <c r="X46" s="3">
        <f t="shared" si="10"/>
        <v>-5962.09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","5014"," - ","PURCHASES @ COST-REMAINDERS")</f>
        <v xml:space="preserve">          5014 - PURCHASES @ COST-REMAINDERS</v>
      </c>
      <c r="C47" s="12"/>
      <c r="D47" s="3"/>
      <c r="E47" s="3"/>
      <c r="F47" s="20">
        <f t="shared" si="4"/>
        <v>0</v>
      </c>
      <c r="G47" s="3"/>
      <c r="H47" s="3">
        <v>21.16</v>
      </c>
      <c r="I47" s="3"/>
      <c r="J47" s="20">
        <f t="shared" si="5"/>
        <v>3.3889672778873085E-4</v>
      </c>
      <c r="K47" s="3"/>
      <c r="L47" s="3">
        <f t="shared" si="6"/>
        <v>-21.16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111.57</v>
      </c>
      <c r="U47" s="3"/>
      <c r="V47" s="20">
        <f t="shared" si="9"/>
        <v>5.9788643367708817E-5</v>
      </c>
      <c r="W47" s="3"/>
      <c r="X47" s="3">
        <f t="shared" si="10"/>
        <v>-111.57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","5018"," - ","PURCHASES @ COST-STUDY GUIDES")</f>
        <v xml:space="preserve">          5018 - PURCHASES @ COST-STUDY GUIDES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522.34</v>
      </c>
      <c r="U48" s="3"/>
      <c r="V48" s="20">
        <f t="shared" si="9"/>
        <v>2.7991395515540942E-4</v>
      </c>
      <c r="W48" s="3"/>
      <c r="X48" s="3">
        <f t="shared" si="10"/>
        <v>-522.34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","5200"," - ","PURCHASES OFFSET")</f>
        <v xml:space="preserve">          5200 - PURCHASES OFFSET</v>
      </c>
      <c r="C49" s="12"/>
      <c r="D49" s="3">
        <v>-166938.59</v>
      </c>
      <c r="E49" s="3"/>
      <c r="F49" s="20">
        <f t="shared" si="4"/>
        <v>-1.1599471870070364</v>
      </c>
      <c r="G49" s="3"/>
      <c r="H49" s="3">
        <v>212842.2</v>
      </c>
      <c r="I49" s="3"/>
      <c r="J49" s="20">
        <f t="shared" si="5"/>
        <v>3.408862245527156</v>
      </c>
      <c r="K49" s="3"/>
      <c r="L49" s="3">
        <f t="shared" si="6"/>
        <v>-379780.79000000004</v>
      </c>
      <c r="M49" s="3"/>
      <c r="N49" s="20">
        <f t="shared" si="7"/>
        <v>-1.7843303160745378</v>
      </c>
      <c r="O49" s="12"/>
      <c r="P49" s="3">
        <v>-1629298.2</v>
      </c>
      <c r="Q49" s="3"/>
      <c r="R49" s="20">
        <f t="shared" si="8"/>
        <v>-0.96269296238051372</v>
      </c>
      <c r="S49" s="3"/>
      <c r="T49" s="3">
        <v>-1459800.9</v>
      </c>
      <c r="U49" s="3"/>
      <c r="V49" s="20">
        <f t="shared" si="9"/>
        <v>-0.78228480234794628</v>
      </c>
      <c r="W49" s="3"/>
      <c r="X49" s="3">
        <f t="shared" si="10"/>
        <v>-169497.30000000005</v>
      </c>
      <c r="Y49" s="3"/>
      <c r="Z49" s="20">
        <f t="shared" si="11"/>
        <v>0.11610987498363651</v>
      </c>
    </row>
    <row r="50" spans="1:26" s="69" customFormat="1" ht="15" hidden="1" customHeight="1" outlineLevel="1" x14ac:dyDescent="0.3">
      <c r="A50" s="42"/>
      <c r="B50" s="12" t="str">
        <f>CONCATENATE("          ","5300"," - ","COG$ OFFSET")</f>
        <v xml:space="preserve">          5300 - COG$ OFFSET</v>
      </c>
      <c r="C50" s="12"/>
      <c r="D50" s="3">
        <v>96980.38</v>
      </c>
      <c r="E50" s="3"/>
      <c r="F50" s="20">
        <f t="shared" si="4"/>
        <v>0.67385329524990878</v>
      </c>
      <c r="G50" s="3"/>
      <c r="H50" s="3">
        <v>41957</v>
      </c>
      <c r="I50" s="3"/>
      <c r="J50" s="20">
        <f t="shared" si="5"/>
        <v>0.67197967900906341</v>
      </c>
      <c r="K50" s="3"/>
      <c r="L50" s="3">
        <f t="shared" si="6"/>
        <v>55023.380000000005</v>
      </c>
      <c r="M50" s="3"/>
      <c r="N50" s="20">
        <f t="shared" si="7"/>
        <v>1.311423123674238</v>
      </c>
      <c r="O50" s="12"/>
      <c r="P50" s="3">
        <v>1314870.55</v>
      </c>
      <c r="Q50" s="3"/>
      <c r="R50" s="20">
        <f t="shared" si="8"/>
        <v>0.77690911640754001</v>
      </c>
      <c r="S50" s="3"/>
      <c r="T50" s="3">
        <v>1321408</v>
      </c>
      <c r="U50" s="3"/>
      <c r="V50" s="20">
        <f t="shared" si="9"/>
        <v>0.70812218029252827</v>
      </c>
      <c r="W50" s="3"/>
      <c r="X50" s="3">
        <f t="shared" si="10"/>
        <v>-6537.4499999999534</v>
      </c>
      <c r="Y50" s="3"/>
      <c r="Z50" s="20">
        <f t="shared" si="11"/>
        <v>-4.9473364774543166E-3</v>
      </c>
    </row>
    <row r="51" spans="1:26" s="69" customFormat="1" ht="15" hidden="1" customHeight="1" outlineLevel="1" x14ac:dyDescent="0.3">
      <c r="A51" s="42"/>
      <c r="B51" s="12" t="str">
        <f>CONCATENATE("          ","5500"," - ","FREIGHT-IN")</f>
        <v xml:space="preserve">          5500 - FREIGHT-IN</v>
      </c>
      <c r="C51" s="12"/>
      <c r="D51" s="3">
        <v>21786.36</v>
      </c>
      <c r="E51" s="3"/>
      <c r="F51" s="20">
        <f t="shared" si="4"/>
        <v>0.1513791807941029</v>
      </c>
      <c r="G51" s="3"/>
      <c r="H51" s="3">
        <v>0</v>
      </c>
      <c r="I51" s="3"/>
      <c r="J51" s="20">
        <f t="shared" si="5"/>
        <v>0</v>
      </c>
      <c r="K51" s="3"/>
      <c r="L51" s="3">
        <f t="shared" si="6"/>
        <v>21786.36</v>
      </c>
      <c r="M51" s="3"/>
      <c r="N51" s="20">
        <f t="shared" si="7"/>
        <v>0</v>
      </c>
      <c r="O51" s="12"/>
      <c r="P51" s="3">
        <v>70455.009999999995</v>
      </c>
      <c r="Q51" s="3"/>
      <c r="R51" s="20">
        <f t="shared" si="8"/>
        <v>4.1629299223094156E-2</v>
      </c>
      <c r="S51" s="3"/>
      <c r="T51" s="3">
        <v>0</v>
      </c>
      <c r="U51" s="3"/>
      <c r="V51" s="20">
        <f t="shared" si="9"/>
        <v>0</v>
      </c>
      <c r="W51" s="3"/>
      <c r="X51" s="3">
        <f t="shared" si="10"/>
        <v>70455.009999999995</v>
      </c>
      <c r="Y51" s="3"/>
      <c r="Z51" s="20">
        <f t="shared" si="11"/>
        <v>0</v>
      </c>
    </row>
    <row r="52" spans="1:26" s="69" customFormat="1" ht="15" hidden="1" customHeight="1" outlineLevel="1" x14ac:dyDescent="0.3">
      <c r="A52" s="42"/>
      <c r="B52" s="12" t="str">
        <f>CONCATENATE("          ","5501"," - ","FREIGHT-IN-NEW TEXT")</f>
        <v xml:space="preserve">          5501 - FREIGHT-IN-NEW TEXT</v>
      </c>
      <c r="C52" s="12"/>
      <c r="D52" s="3"/>
      <c r="E52" s="3"/>
      <c r="F52" s="20">
        <f t="shared" si="4"/>
        <v>0</v>
      </c>
      <c r="G52" s="3"/>
      <c r="H52" s="3">
        <v>4638.13</v>
      </c>
      <c r="I52" s="3"/>
      <c r="J52" s="20">
        <f t="shared" si="5"/>
        <v>7.428388847158536E-2</v>
      </c>
      <c r="K52" s="3"/>
      <c r="L52" s="3">
        <f t="shared" si="6"/>
        <v>-4638.13</v>
      </c>
      <c r="M52" s="3"/>
      <c r="N52" s="20">
        <f t="shared" si="7"/>
        <v>-1</v>
      </c>
      <c r="O52" s="12"/>
      <c r="P52" s="3">
        <v>0</v>
      </c>
      <c r="Q52" s="3"/>
      <c r="R52" s="20">
        <f t="shared" si="8"/>
        <v>0</v>
      </c>
      <c r="S52" s="3"/>
      <c r="T52" s="3">
        <v>49256.92</v>
      </c>
      <c r="U52" s="3"/>
      <c r="V52" s="20">
        <f t="shared" si="9"/>
        <v>2.6396024229378541E-2</v>
      </c>
      <c r="W52" s="3"/>
      <c r="X52" s="3">
        <f t="shared" si="10"/>
        <v>-49256.92</v>
      </c>
      <c r="Y52" s="3"/>
      <c r="Z52" s="20">
        <f t="shared" si="11"/>
        <v>-1</v>
      </c>
    </row>
    <row r="53" spans="1:26" s="69" customFormat="1" ht="15" hidden="1" customHeight="1" outlineLevel="1" x14ac:dyDescent="0.3">
      <c r="A53" s="42"/>
      <c r="B53" s="12" t="str">
        <f>CONCATENATE("          ","5502"," - ","FREIGHT-IN-USED TEXT")</f>
        <v xml:space="preserve">          5502 - FREIGHT-IN-USED TEXT</v>
      </c>
      <c r="C53" s="12"/>
      <c r="D53" s="3"/>
      <c r="E53" s="3"/>
      <c r="F53" s="20">
        <f t="shared" si="4"/>
        <v>0</v>
      </c>
      <c r="G53" s="3"/>
      <c r="H53" s="3">
        <v>1484.45</v>
      </c>
      <c r="I53" s="3"/>
      <c r="J53" s="20">
        <f t="shared" si="5"/>
        <v>2.377482266379875E-2</v>
      </c>
      <c r="K53" s="3"/>
      <c r="L53" s="3">
        <f t="shared" si="6"/>
        <v>-1484.45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17136.759999999998</v>
      </c>
      <c r="U53" s="3"/>
      <c r="V53" s="20">
        <f t="shared" si="9"/>
        <v>9.183325554521983E-3</v>
      </c>
      <c r="W53" s="3"/>
      <c r="X53" s="3">
        <f t="shared" si="10"/>
        <v>-17136.759999999998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","5504"," - ","FREIGHT-IN-DIGITAL TEXT")</f>
        <v xml:space="preserve">          5504 - FREIGHT-IN-DIGITAL TEXT</v>
      </c>
      <c r="C54" s="12"/>
      <c r="D54" s="3"/>
      <c r="E54" s="3"/>
      <c r="F54" s="20">
        <f t="shared" si="4"/>
        <v>0</v>
      </c>
      <c r="G54" s="3"/>
      <c r="H54" s="3">
        <v>6.94</v>
      </c>
      <c r="I54" s="3"/>
      <c r="J54" s="20">
        <f t="shared" si="5"/>
        <v>1.1115043907626618E-4</v>
      </c>
      <c r="K54" s="3"/>
      <c r="L54" s="3">
        <f t="shared" si="6"/>
        <v>-6.94</v>
      </c>
      <c r="M54" s="3"/>
      <c r="N54" s="20">
        <f t="shared" si="7"/>
        <v>-1</v>
      </c>
      <c r="O54" s="12"/>
      <c r="P54" s="3"/>
      <c r="Q54" s="3"/>
      <c r="R54" s="20">
        <f t="shared" si="8"/>
        <v>0</v>
      </c>
      <c r="S54" s="3"/>
      <c r="T54" s="3">
        <v>28.92</v>
      </c>
      <c r="U54" s="3"/>
      <c r="V54" s="20">
        <f t="shared" si="9"/>
        <v>1.5497782255033963E-5</v>
      </c>
      <c r="W54" s="3"/>
      <c r="X54" s="3">
        <f t="shared" si="10"/>
        <v>-28.92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","5513"," - ","FREIGHT-IN-TRADE BOOKS")</f>
        <v xml:space="preserve">          5513 - FREIGHT-IN-TRADE BOOKS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33.520000000000003</v>
      </c>
      <c r="U55" s="3"/>
      <c r="V55" s="20">
        <f t="shared" si="9"/>
        <v>1.7962851355073945E-5</v>
      </c>
      <c r="W55" s="3"/>
      <c r="X55" s="3">
        <f t="shared" si="10"/>
        <v>-33.520000000000003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","5518"," - ","FREIGHT-IN-STUDY GUIDES")</f>
        <v xml:space="preserve">          5518 - FREIGHT-IN-STUDY GUIDES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ht="15" customHeight="1" x14ac:dyDescent="0.3">
      <c r="A57" s="10"/>
      <c r="B57" s="11"/>
      <c r="C57" s="11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O57" s="11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3">
      <c r="A58" s="11"/>
      <c r="B58" s="28" t="s">
        <v>288</v>
      </c>
      <c r="C58" s="28"/>
      <c r="D58" s="23">
        <f>D12-D39</f>
        <v>46938.749999999985</v>
      </c>
      <c r="E58" s="15"/>
      <c r="F58" s="22">
        <f>IF(D$12=0,0,D58/D$12)</f>
        <v>0.32614670475009111</v>
      </c>
      <c r="G58" s="15"/>
      <c r="H58" s="23">
        <f>H12-H39</f>
        <v>20480.900000000023</v>
      </c>
      <c r="I58" s="15"/>
      <c r="J58" s="22">
        <f>IF(H$12=0,0,H58/H$12)</f>
        <v>0.32802032099093698</v>
      </c>
      <c r="K58" s="17"/>
      <c r="L58" s="23">
        <f>+D58-H58</f>
        <v>26457.849999999962</v>
      </c>
      <c r="M58" s="17"/>
      <c r="N58" s="22">
        <f>IF(H58=0,0,L58/H58)</f>
        <v>1.2918304371389897</v>
      </c>
      <c r="O58" s="27"/>
      <c r="P58" s="23">
        <f>P12-P39</f>
        <v>377567.5</v>
      </c>
      <c r="Q58" s="15"/>
      <c r="R58" s="22">
        <f>IF(P$12=0,0,P58/P$12)</f>
        <v>0.22309088359245999</v>
      </c>
      <c r="S58" s="15"/>
      <c r="T58" s="23">
        <f>T12-T39</f>
        <v>544665.44999999949</v>
      </c>
      <c r="U58" s="15"/>
      <c r="V58" s="22">
        <f>IF(T$12=0,0,T58/T$12)</f>
        <v>0.29187781970747162</v>
      </c>
      <c r="W58" s="17"/>
      <c r="X58" s="23">
        <f>+P58-T58</f>
        <v>-167097.94999999949</v>
      </c>
      <c r="Y58" s="17"/>
      <c r="Z58" s="22">
        <f>IF(T58=0,0,X58/T58)</f>
        <v>-0.30679006718711394</v>
      </c>
    </row>
    <row r="59" spans="1:26" ht="15" customHeight="1" x14ac:dyDescent="0.3">
      <c r="A59" s="10"/>
      <c r="B59" s="11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3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62" customFormat="1" ht="15" customHeight="1" x14ac:dyDescent="0.3">
      <c r="A60" s="11"/>
      <c r="B60" s="27" t="s">
        <v>289</v>
      </c>
      <c r="C60" s="11"/>
      <c r="D60" s="21" cm="1">
        <f t="array" ref="D60">SUM(OSRRefD22x_0)</f>
        <v>29171.58</v>
      </c>
      <c r="E60" s="21"/>
      <c r="F60" s="30">
        <f t="shared" ref="F60:F91" si="12">IF(D$12=0,0,D60/D$12)</f>
        <v>0.20269424919397444</v>
      </c>
      <c r="G60" s="21"/>
      <c r="H60" s="21" cm="1">
        <f t="array" ref="H60">SUM(OSRRefH22x_0)</f>
        <v>39269.65</v>
      </c>
      <c r="I60" s="21"/>
      <c r="J60" s="30">
        <f t="shared" ref="J60:J91" si="13">IF(H$12=0,0,H60/H$12)</f>
        <v>0.62893931410249226</v>
      </c>
      <c r="K60" s="5"/>
      <c r="L60" s="21">
        <f t="shared" ref="L60:L91" si="14">+D60-H60</f>
        <v>-10098.07</v>
      </c>
      <c r="M60" s="5"/>
      <c r="N60" s="30">
        <f t="shared" ref="N60:N91" si="15">IF(H60=0,0,L60/H60)</f>
        <v>-0.25714693153618634</v>
      </c>
      <c r="O60" s="11"/>
      <c r="P60" s="21" cm="1">
        <f t="array" ref="P60">SUM(OSRRefP22x_0)</f>
        <v>361432.13999999996</v>
      </c>
      <c r="Q60" s="21"/>
      <c r="R60" s="30">
        <f t="shared" ref="R60:R91" si="16">IF(P$12=0,0,P60/P$12)</f>
        <v>0.21355708706738186</v>
      </c>
      <c r="S60" s="21"/>
      <c r="T60" s="21" cm="1">
        <f t="array" ref="T60">SUM(OSRRefT22x_0)</f>
        <v>362260.23999999993</v>
      </c>
      <c r="U60" s="21"/>
      <c r="V60" s="30">
        <f t="shared" ref="V60:V91" si="17">IF(T$12=0,0,T60/T$12)</f>
        <v>0.19412967908631892</v>
      </c>
      <c r="W60" s="5"/>
      <c r="X60" s="21">
        <f t="shared" ref="X60:X91" si="18">+P60-T60</f>
        <v>-828.09999999997672</v>
      </c>
      <c r="Y60" s="5"/>
      <c r="Z60" s="30">
        <f t="shared" ref="Z60:Z91" si="19">IF(T60=0,0,X60/T60)</f>
        <v>-2.2859257201396899E-3</v>
      </c>
    </row>
    <row r="61" spans="1:26" s="68" customFormat="1" ht="15" customHeight="1" outlineLevel="1" collapsed="1" x14ac:dyDescent="0.3">
      <c r="A61" s="25"/>
      <c r="B61" s="14" t="str">
        <f>CONCATENATE("     ","*Benefits                                         ")</f>
        <v xml:space="preserve">     *Benefits                                         </v>
      </c>
      <c r="C61" s="14"/>
      <c r="D61" s="2">
        <f>SUM(OSRRefD22_0x_0)</f>
        <v>-12457.830000000002</v>
      </c>
      <c r="E61" s="2"/>
      <c r="F61" s="6">
        <f t="shared" si="12"/>
        <v>-8.6561320930719915E-2</v>
      </c>
      <c r="G61" s="2"/>
      <c r="H61" s="2">
        <f>SUM(OSRRefH22_0x_0)</f>
        <v>11929.13</v>
      </c>
      <c r="I61" s="2"/>
      <c r="J61" s="6">
        <f t="shared" si="13"/>
        <v>0.19105591315531109</v>
      </c>
      <c r="K61" s="2"/>
      <c r="L61" s="2">
        <f t="shared" si="14"/>
        <v>-24386.959999999999</v>
      </c>
      <c r="M61" s="2"/>
      <c r="N61" s="6">
        <f t="shared" si="15"/>
        <v>-2.0443200803411483</v>
      </c>
      <c r="O61" s="14"/>
      <c r="P61" s="2">
        <f>SUM(OSRRefP22_0x_0)</f>
        <v>80694.249999999985</v>
      </c>
      <c r="Q61" s="2"/>
      <c r="R61" s="6">
        <f t="shared" si="16"/>
        <v>4.7679293194808507E-2</v>
      </c>
      <c r="S61" s="2"/>
      <c r="T61" s="2">
        <f>SUM(OSRRefT22_0x_0)</f>
        <v>93726.34</v>
      </c>
      <c r="U61" s="2"/>
      <c r="V61" s="6">
        <f t="shared" si="17"/>
        <v>5.0226500998661126E-2</v>
      </c>
      <c r="W61" s="2"/>
      <c r="X61" s="2">
        <f t="shared" si="18"/>
        <v>-13032.090000000011</v>
      </c>
      <c r="Y61" s="2"/>
      <c r="Z61" s="6">
        <f t="shared" si="19"/>
        <v>-0.13904405101063386</v>
      </c>
    </row>
    <row r="62" spans="1:26" s="69" customFormat="1" ht="15" hidden="1" customHeight="1" outlineLevel="2" x14ac:dyDescent="0.3">
      <c r="A62" s="26"/>
      <c r="B62" s="12" t="str">
        <f>CONCATENATE("          ","6111"," - ","F.I.C.A.")</f>
        <v xml:space="preserve">          6111 - F.I.C.A.</v>
      </c>
      <c r="C62" s="12"/>
      <c r="D62" s="8">
        <v>2953.98</v>
      </c>
      <c r="E62" s="3"/>
      <c r="F62" s="7">
        <f t="shared" si="12"/>
        <v>2.0525276938514012E-2</v>
      </c>
      <c r="G62" s="3"/>
      <c r="H62" s="8">
        <v>1875.59</v>
      </c>
      <c r="I62" s="3"/>
      <c r="J62" s="7">
        <f t="shared" si="13"/>
        <v>3.0039287035598567E-2</v>
      </c>
      <c r="K62" s="3"/>
      <c r="L62" s="8">
        <f t="shared" si="14"/>
        <v>1078.3900000000001</v>
      </c>
      <c r="M62" s="3"/>
      <c r="N62" s="7">
        <f t="shared" si="15"/>
        <v>0.57496041245688034</v>
      </c>
      <c r="O62" s="12"/>
      <c r="P62" s="8">
        <v>17804.66</v>
      </c>
      <c r="Q62" s="3"/>
      <c r="R62" s="7">
        <f t="shared" si="16"/>
        <v>1.0520125094091332E-2</v>
      </c>
      <c r="S62" s="3"/>
      <c r="T62" s="8">
        <v>17001.2</v>
      </c>
      <c r="U62" s="3"/>
      <c r="V62" s="7">
        <f t="shared" si="17"/>
        <v>9.1106810399129799E-3</v>
      </c>
      <c r="W62" s="3"/>
      <c r="X62" s="8">
        <f t="shared" si="18"/>
        <v>803.45999999999913</v>
      </c>
      <c r="Y62" s="3"/>
      <c r="Z62" s="7">
        <f t="shared" si="19"/>
        <v>4.7259017010563904E-2</v>
      </c>
    </row>
    <row r="63" spans="1:26" s="69" customFormat="1" ht="15" hidden="1" customHeight="1" outlineLevel="2" x14ac:dyDescent="0.3">
      <c r="A63" s="26"/>
      <c r="B63" s="12" t="str">
        <f>CONCATENATE("          ","6112"," - ","COMPENSATION INSURANCE")</f>
        <v xml:space="preserve">          6112 - COMPENSATION INSURANCE</v>
      </c>
      <c r="C63" s="12"/>
      <c r="D63" s="8">
        <v>533.20000000000005</v>
      </c>
      <c r="E63" s="3"/>
      <c r="F63" s="7">
        <f t="shared" si="12"/>
        <v>3.7048584159729151E-3</v>
      </c>
      <c r="G63" s="3"/>
      <c r="H63" s="8">
        <v>86.99</v>
      </c>
      <c r="I63" s="3"/>
      <c r="J63" s="7">
        <f t="shared" si="13"/>
        <v>1.3932243076721028E-3</v>
      </c>
      <c r="K63" s="3"/>
      <c r="L63" s="8">
        <f t="shared" si="14"/>
        <v>446.21000000000004</v>
      </c>
      <c r="M63" s="3"/>
      <c r="N63" s="7">
        <f t="shared" si="15"/>
        <v>5.1294401655362689</v>
      </c>
      <c r="O63" s="12"/>
      <c r="P63" s="8">
        <v>3445.25</v>
      </c>
      <c r="Q63" s="3"/>
      <c r="R63" s="7">
        <f t="shared" si="16"/>
        <v>2.0356727385088037E-3</v>
      </c>
      <c r="S63" s="3"/>
      <c r="T63" s="8">
        <v>943.96</v>
      </c>
      <c r="U63" s="3"/>
      <c r="V63" s="7">
        <f t="shared" si="17"/>
        <v>5.058536147116825E-4</v>
      </c>
      <c r="W63" s="3"/>
      <c r="X63" s="8">
        <f t="shared" si="18"/>
        <v>2501.29</v>
      </c>
      <c r="Y63" s="3"/>
      <c r="Z63" s="7">
        <f t="shared" si="19"/>
        <v>2.6497838891478449</v>
      </c>
    </row>
    <row r="64" spans="1:26" s="69" customFormat="1" ht="15" hidden="1" customHeight="1" outlineLevel="2" x14ac:dyDescent="0.3">
      <c r="A64" s="26"/>
      <c r="B64" s="12" t="str">
        <f>CONCATENATE("          ","6113"," - ","GROUP INSURANCE")</f>
        <v xml:space="preserve">          6113 - GROUP INSURANCE</v>
      </c>
      <c r="C64" s="12"/>
      <c r="D64" s="8">
        <v>3017.37</v>
      </c>
      <c r="E64" s="3"/>
      <c r="F64" s="7">
        <f t="shared" si="12"/>
        <v>2.0965732630540496E-2</v>
      </c>
      <c r="G64" s="3"/>
      <c r="H64" s="8">
        <v>4943.91</v>
      </c>
      <c r="I64" s="3"/>
      <c r="J64" s="7">
        <f t="shared" si="13"/>
        <v>7.9181234474573939E-2</v>
      </c>
      <c r="K64" s="3"/>
      <c r="L64" s="8">
        <f t="shared" si="14"/>
        <v>-1926.54</v>
      </c>
      <c r="M64" s="3"/>
      <c r="N64" s="7">
        <f t="shared" si="15"/>
        <v>-0.38967942377591824</v>
      </c>
      <c r="O64" s="12"/>
      <c r="P64" s="8">
        <v>35089.75</v>
      </c>
      <c r="Q64" s="3"/>
      <c r="R64" s="7">
        <f t="shared" si="16"/>
        <v>2.0733255199503461E-2</v>
      </c>
      <c r="S64" s="3"/>
      <c r="T64" s="8">
        <v>35276.04</v>
      </c>
      <c r="U64" s="3"/>
      <c r="V64" s="7">
        <f t="shared" si="17"/>
        <v>1.8903886125168336E-2</v>
      </c>
      <c r="W64" s="3"/>
      <c r="X64" s="8">
        <f t="shared" si="18"/>
        <v>-186.29000000000087</v>
      </c>
      <c r="Y64" s="3"/>
      <c r="Z64" s="7">
        <f t="shared" si="19"/>
        <v>-5.2809215546870021E-3</v>
      </c>
    </row>
    <row r="65" spans="1:26" s="69" customFormat="1" ht="15" hidden="1" customHeight="1" outlineLevel="2" x14ac:dyDescent="0.3">
      <c r="A65" s="26"/>
      <c r="B65" s="12" t="str">
        <f>CONCATENATE("          ","6114"," - ","STATE UNEMPLOYMENT INSURANCE")</f>
        <v xml:space="preserve">          6114 - STATE UNEMPLOYMENT INSURANCE</v>
      </c>
      <c r="C65" s="12"/>
      <c r="D65" s="8">
        <v>106.2</v>
      </c>
      <c r="E65" s="3"/>
      <c r="F65" s="7">
        <f t="shared" si="12"/>
        <v>7.3791441068327742E-4</v>
      </c>
      <c r="G65" s="3"/>
      <c r="H65" s="8">
        <v>68.540000000000006</v>
      </c>
      <c r="I65" s="3"/>
      <c r="J65" s="7">
        <f t="shared" si="13"/>
        <v>1.0977307052287154E-3</v>
      </c>
      <c r="K65" s="3"/>
      <c r="L65" s="8">
        <f t="shared" si="14"/>
        <v>37.659999999999997</v>
      </c>
      <c r="M65" s="3"/>
      <c r="N65" s="7">
        <f t="shared" si="15"/>
        <v>0.5494601692442368</v>
      </c>
      <c r="O65" s="12"/>
      <c r="P65" s="8">
        <v>683.92</v>
      </c>
      <c r="Q65" s="3"/>
      <c r="R65" s="7">
        <f t="shared" si="16"/>
        <v>4.0410341755197477E-4</v>
      </c>
      <c r="S65" s="3"/>
      <c r="T65" s="8">
        <v>600.69000000000005</v>
      </c>
      <c r="U65" s="3"/>
      <c r="V65" s="7">
        <f t="shared" si="17"/>
        <v>3.2190051254413383E-4</v>
      </c>
      <c r="W65" s="3"/>
      <c r="X65" s="8">
        <f t="shared" si="18"/>
        <v>83.229999999999905</v>
      </c>
      <c r="Y65" s="3"/>
      <c r="Z65" s="7">
        <f t="shared" si="19"/>
        <v>0.13855732574206311</v>
      </c>
    </row>
    <row r="66" spans="1:26" s="69" customFormat="1" ht="15" hidden="1" customHeight="1" outlineLevel="2" x14ac:dyDescent="0.3">
      <c r="A66" s="26"/>
      <c r="B66" s="12" t="str">
        <f>CONCATENATE("          ","6115"," - ","P.E.R.S.")</f>
        <v xml:space="preserve">          6115 - P.E.R.S.</v>
      </c>
      <c r="C66" s="12"/>
      <c r="D66" s="8">
        <v>3125.36</v>
      </c>
      <c r="E66" s="3"/>
      <c r="F66" s="7">
        <f t="shared" si="12"/>
        <v>2.1716084581667496E-2</v>
      </c>
      <c r="G66" s="3"/>
      <c r="H66" s="8">
        <v>1783.22</v>
      </c>
      <c r="I66" s="3"/>
      <c r="J66" s="7">
        <f t="shared" si="13"/>
        <v>2.8559897113772242E-2</v>
      </c>
      <c r="K66" s="3"/>
      <c r="L66" s="8">
        <f t="shared" si="14"/>
        <v>1342.14</v>
      </c>
      <c r="M66" s="3"/>
      <c r="N66" s="7">
        <f t="shared" si="15"/>
        <v>0.75264970110250007</v>
      </c>
      <c r="O66" s="12"/>
      <c r="P66" s="8">
        <v>15371.48</v>
      </c>
      <c r="Q66" s="3"/>
      <c r="R66" s="7">
        <f t="shared" si="16"/>
        <v>9.0824476559127221E-3</v>
      </c>
      <c r="S66" s="3"/>
      <c r="T66" s="8">
        <v>14958.51</v>
      </c>
      <c r="U66" s="3"/>
      <c r="V66" s="7">
        <f t="shared" si="17"/>
        <v>8.016034952965009E-3</v>
      </c>
      <c r="W66" s="3"/>
      <c r="X66" s="8">
        <f t="shared" si="18"/>
        <v>412.96999999999935</v>
      </c>
      <c r="Y66" s="3"/>
      <c r="Z66" s="7">
        <f t="shared" si="19"/>
        <v>2.7607696221080797E-2</v>
      </c>
    </row>
    <row r="67" spans="1:26" s="69" customFormat="1" ht="15" hidden="1" customHeight="1" outlineLevel="2" x14ac:dyDescent="0.3">
      <c r="A67" s="26"/>
      <c r="B67" s="12" t="str">
        <f>CONCATENATE("          ","6117"," - ","RETIREMENT STAFF HOURLY")</f>
        <v xml:space="preserve">          6117 - RETIREMENT STAFF HOURLY</v>
      </c>
      <c r="C67" s="12"/>
      <c r="D67" s="8">
        <v>327.02</v>
      </c>
      <c r="E67" s="3"/>
      <c r="F67" s="7">
        <f t="shared" si="12"/>
        <v>2.2722483105616325E-3</v>
      </c>
      <c r="G67" s="3"/>
      <c r="H67" s="8">
        <v>298.89999999999998</v>
      </c>
      <c r="I67" s="3"/>
      <c r="J67" s="7">
        <f t="shared" si="13"/>
        <v>4.7871565187169963E-3</v>
      </c>
      <c r="K67" s="3"/>
      <c r="L67" s="8">
        <f t="shared" si="14"/>
        <v>28.120000000000005</v>
      </c>
      <c r="M67" s="3"/>
      <c r="N67" s="7">
        <f t="shared" si="15"/>
        <v>9.4078287052525952E-2</v>
      </c>
      <c r="O67" s="12"/>
      <c r="P67" s="8">
        <v>2594.2600000000002</v>
      </c>
      <c r="Q67" s="3"/>
      <c r="R67" s="7">
        <f t="shared" si="16"/>
        <v>1.5328537431547348E-3</v>
      </c>
      <c r="S67" s="3"/>
      <c r="T67" s="8">
        <v>2140.98</v>
      </c>
      <c r="U67" s="3"/>
      <c r="V67" s="7">
        <f t="shared" si="17"/>
        <v>1.1473181830007819E-3</v>
      </c>
      <c r="W67" s="3"/>
      <c r="X67" s="8">
        <f t="shared" si="18"/>
        <v>453.2800000000002</v>
      </c>
      <c r="Y67" s="3"/>
      <c r="Z67" s="7">
        <f t="shared" si="19"/>
        <v>0.21171612999654374</v>
      </c>
    </row>
    <row r="68" spans="1:26" s="69" customFormat="1" ht="15" hidden="1" customHeight="1" outlineLevel="2" x14ac:dyDescent="0.3">
      <c r="A68" s="26"/>
      <c r="B68" s="12" t="str">
        <f>CONCATENATE("          ","6118"," - ","VACATION")</f>
        <v xml:space="preserve">          6118 - VACATION</v>
      </c>
      <c r="C68" s="12"/>
      <c r="D68" s="8">
        <v>3634.12</v>
      </c>
      <c r="E68" s="3"/>
      <c r="F68" s="7">
        <f t="shared" si="12"/>
        <v>2.5251125406330625E-2</v>
      </c>
      <c r="G68" s="3"/>
      <c r="H68" s="8">
        <v>1386.96</v>
      </c>
      <c r="I68" s="3"/>
      <c r="J68" s="7">
        <f t="shared" si="13"/>
        <v>2.2213431265305207E-2</v>
      </c>
      <c r="K68" s="3"/>
      <c r="L68" s="8">
        <f t="shared" si="14"/>
        <v>2247.16</v>
      </c>
      <c r="M68" s="3"/>
      <c r="N68" s="7">
        <f t="shared" si="15"/>
        <v>1.6202053411778277</v>
      </c>
      <c r="O68" s="12"/>
      <c r="P68" s="8">
        <v>15315</v>
      </c>
      <c r="Q68" s="3"/>
      <c r="R68" s="7">
        <f t="shared" si="16"/>
        <v>9.0490756810862293E-3</v>
      </c>
      <c r="S68" s="3"/>
      <c r="T68" s="8">
        <v>10689.66</v>
      </c>
      <c r="U68" s="3"/>
      <c r="V68" s="7">
        <f t="shared" si="17"/>
        <v>5.7284240338985595E-3</v>
      </c>
      <c r="W68" s="3"/>
      <c r="X68" s="8">
        <f t="shared" si="18"/>
        <v>4625.34</v>
      </c>
      <c r="Y68" s="3"/>
      <c r="Z68" s="7">
        <f t="shared" si="19"/>
        <v>0.43269290136449617</v>
      </c>
    </row>
    <row r="69" spans="1:26" s="69" customFormat="1" ht="15" hidden="1" customHeight="1" outlineLevel="2" x14ac:dyDescent="0.3">
      <c r="A69" s="26"/>
      <c r="B69" s="12" t="str">
        <f>CONCATENATE("          ","6119"," - ","SICK LEAVE")</f>
        <v xml:space="preserve">          6119 - SICK LEAVE</v>
      </c>
      <c r="C69" s="12"/>
      <c r="D69" s="8">
        <v>-27254.15</v>
      </c>
      <c r="E69" s="3"/>
      <c r="F69" s="7">
        <f t="shared" si="12"/>
        <v>-0.18937128094090064</v>
      </c>
      <c r="G69" s="3"/>
      <c r="H69" s="8">
        <v>1147.56</v>
      </c>
      <c r="I69" s="3"/>
      <c r="J69" s="7">
        <f t="shared" si="13"/>
        <v>1.8379221594576368E-2</v>
      </c>
      <c r="K69" s="3"/>
      <c r="L69" s="8">
        <f t="shared" si="14"/>
        <v>-28401.710000000003</v>
      </c>
      <c r="M69" s="3"/>
      <c r="N69" s="7">
        <f t="shared" si="15"/>
        <v>-24.749651434347662</v>
      </c>
      <c r="O69" s="12"/>
      <c r="P69" s="8">
        <v>-16488.240000000002</v>
      </c>
      <c r="Q69" s="3"/>
      <c r="R69" s="7">
        <f t="shared" si="16"/>
        <v>-9.7423004641144766E-3</v>
      </c>
      <c r="S69" s="3"/>
      <c r="T69" s="8">
        <v>8739.4599999999991</v>
      </c>
      <c r="U69" s="3"/>
      <c r="V69" s="7">
        <f t="shared" si="17"/>
        <v>4.6833419123990007E-3</v>
      </c>
      <c r="W69" s="3"/>
      <c r="X69" s="8">
        <f t="shared" si="18"/>
        <v>-25227.7</v>
      </c>
      <c r="Y69" s="3"/>
      <c r="Z69" s="7">
        <f t="shared" si="19"/>
        <v>-2.8866428818256509</v>
      </c>
    </row>
    <row r="70" spans="1:26" s="69" customFormat="1" ht="15" hidden="1" customHeight="1" outlineLevel="2" x14ac:dyDescent="0.3">
      <c r="A70" s="26"/>
      <c r="B70" s="12" t="str">
        <f>CONCATENATE("          ","6156"," - ","EMPLOYEE MEALS")</f>
        <v xml:space="preserve">          6156 - EMPLOYEE MEALS</v>
      </c>
      <c r="C70" s="12"/>
      <c r="D70" s="8">
        <v>1099.07</v>
      </c>
      <c r="E70" s="3"/>
      <c r="F70" s="7">
        <f t="shared" si="12"/>
        <v>7.6367193159102608E-3</v>
      </c>
      <c r="G70" s="3"/>
      <c r="H70" s="8">
        <v>337.46</v>
      </c>
      <c r="I70" s="3"/>
      <c r="J70" s="7">
        <f t="shared" si="13"/>
        <v>5.4047301398669713E-3</v>
      </c>
      <c r="K70" s="3"/>
      <c r="L70" s="8">
        <f t="shared" si="14"/>
        <v>761.6099999999999</v>
      </c>
      <c r="M70" s="3"/>
      <c r="N70" s="7">
        <f t="shared" si="15"/>
        <v>2.2568897054465711</v>
      </c>
      <c r="O70" s="12"/>
      <c r="P70" s="8">
        <v>6878.17</v>
      </c>
      <c r="Q70" s="3"/>
      <c r="R70" s="7">
        <f t="shared" si="16"/>
        <v>4.0640601291137366E-3</v>
      </c>
      <c r="S70" s="3"/>
      <c r="T70" s="8">
        <v>3375.84</v>
      </c>
      <c r="U70" s="3"/>
      <c r="V70" s="7">
        <f t="shared" si="17"/>
        <v>1.8090606240606449E-3</v>
      </c>
      <c r="W70" s="3"/>
      <c r="X70" s="8">
        <f t="shared" si="18"/>
        <v>3502.33</v>
      </c>
      <c r="Y70" s="3"/>
      <c r="Z70" s="7">
        <f t="shared" si="19"/>
        <v>1.0374691928527418</v>
      </c>
    </row>
    <row r="71" spans="1:26" s="68" customFormat="1" ht="15" customHeight="1" outlineLevel="1" collapsed="1" x14ac:dyDescent="0.3">
      <c r="A71" s="25"/>
      <c r="B71" s="14" t="str">
        <f>CONCATENATE("     ","*Payroll                                          ")</f>
        <v xml:space="preserve">     *Payroll                                          </v>
      </c>
      <c r="C71" s="14"/>
      <c r="D71" s="2">
        <f>SUM(OSRRefD22_1x_0)</f>
        <v>39884.450000000004</v>
      </c>
      <c r="E71" s="2"/>
      <c r="F71" s="6">
        <f t="shared" si="12"/>
        <v>0.27713098321258617</v>
      </c>
      <c r="G71" s="2"/>
      <c r="H71" s="2">
        <f>SUM(OSRRefH22_1x_0)</f>
        <v>23630.000000000004</v>
      </c>
      <c r="I71" s="2"/>
      <c r="J71" s="6">
        <f t="shared" si="13"/>
        <v>0.37845603391529831</v>
      </c>
      <c r="K71" s="2"/>
      <c r="L71" s="2">
        <f t="shared" si="14"/>
        <v>16254.45</v>
      </c>
      <c r="M71" s="2"/>
      <c r="N71" s="6">
        <f t="shared" si="15"/>
        <v>0.68787346593313581</v>
      </c>
      <c r="O71" s="14"/>
      <c r="P71" s="2">
        <f>SUM(OSRRefP22_1x_0)</f>
        <v>248029.4</v>
      </c>
      <c r="Q71" s="2"/>
      <c r="R71" s="6">
        <f t="shared" si="16"/>
        <v>0.14655153847433292</v>
      </c>
      <c r="S71" s="2"/>
      <c r="T71" s="2">
        <f>SUM(OSRRefT22_1x_0)</f>
        <v>227398.37</v>
      </c>
      <c r="U71" s="2"/>
      <c r="V71" s="6">
        <f t="shared" si="17"/>
        <v>0.12185928158401269</v>
      </c>
      <c r="W71" s="2"/>
      <c r="X71" s="2">
        <f t="shared" si="18"/>
        <v>20631.03</v>
      </c>
      <c r="Y71" s="2"/>
      <c r="Z71" s="6">
        <f t="shared" si="19"/>
        <v>9.0726375919053415E-2</v>
      </c>
    </row>
    <row r="72" spans="1:26" s="69" customFormat="1" ht="15" hidden="1" customHeight="1" outlineLevel="2" x14ac:dyDescent="0.3">
      <c r="A72" s="26"/>
      <c r="B72" s="12" t="str">
        <f>CONCATENATE("          ","6001"," - ","ADMINISTRATIVE SALARIES")</f>
        <v xml:space="preserve">          6001 - ADMINISTRATIVE SALARIES</v>
      </c>
      <c r="C72" s="12"/>
      <c r="D72" s="8"/>
      <c r="E72" s="3"/>
      <c r="F72" s="7">
        <f t="shared" si="12"/>
        <v>0</v>
      </c>
      <c r="G72" s="3"/>
      <c r="H72" s="8"/>
      <c r="I72" s="3"/>
      <c r="J72" s="7">
        <f t="shared" si="13"/>
        <v>0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/>
      <c r="Q72" s="3"/>
      <c r="R72" s="7">
        <f t="shared" si="16"/>
        <v>0</v>
      </c>
      <c r="S72" s="3"/>
      <c r="T72" s="8">
        <v>-311.32</v>
      </c>
      <c r="U72" s="3"/>
      <c r="V72" s="7">
        <f t="shared" si="17"/>
        <v>-1.6683158961401011E-4</v>
      </c>
      <c r="W72" s="3"/>
      <c r="X72" s="8">
        <f t="shared" si="18"/>
        <v>311.32</v>
      </c>
      <c r="Y72" s="3"/>
      <c r="Z72" s="7">
        <f t="shared" si="19"/>
        <v>-1</v>
      </c>
    </row>
    <row r="73" spans="1:26" s="69" customFormat="1" ht="15" hidden="1" customHeight="1" outlineLevel="2" x14ac:dyDescent="0.3">
      <c r="A73" s="26"/>
      <c r="B73" s="12" t="str">
        <f>CONCATENATE("          ","6002"," - ","STAFF SALARIES")</f>
        <v xml:space="preserve">          6002 - STAFF SALARIES</v>
      </c>
      <c r="C73" s="12"/>
      <c r="D73" s="8">
        <v>31965.37</v>
      </c>
      <c r="E73" s="3"/>
      <c r="F73" s="7">
        <f t="shared" si="12"/>
        <v>0.22210647048797472</v>
      </c>
      <c r="G73" s="3"/>
      <c r="H73" s="8">
        <v>16765.57</v>
      </c>
      <c r="I73" s="3"/>
      <c r="J73" s="7">
        <f t="shared" si="13"/>
        <v>0.26851591741554409</v>
      </c>
      <c r="K73" s="3"/>
      <c r="L73" s="8">
        <f t="shared" si="14"/>
        <v>15199.8</v>
      </c>
      <c r="M73" s="3"/>
      <c r="N73" s="7">
        <f t="shared" si="15"/>
        <v>0.90660800676624775</v>
      </c>
      <c r="O73" s="12"/>
      <c r="P73" s="8">
        <v>155168.93</v>
      </c>
      <c r="Q73" s="3"/>
      <c r="R73" s="7">
        <f t="shared" si="16"/>
        <v>9.1683669012286736E-2</v>
      </c>
      <c r="S73" s="3"/>
      <c r="T73" s="8">
        <v>138126.24</v>
      </c>
      <c r="U73" s="3"/>
      <c r="V73" s="7">
        <f t="shared" si="17"/>
        <v>7.4019723071457891E-2</v>
      </c>
      <c r="W73" s="3"/>
      <c r="X73" s="8">
        <f t="shared" si="18"/>
        <v>17042.690000000002</v>
      </c>
      <c r="Y73" s="3"/>
      <c r="Z73" s="7">
        <f t="shared" si="19"/>
        <v>0.12338488327778997</v>
      </c>
    </row>
    <row r="74" spans="1:26" s="69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8">
        <v>8190.43</v>
      </c>
      <c r="E74" s="3"/>
      <c r="F74" s="7">
        <f t="shared" si="12"/>
        <v>5.6909946579026705E-2</v>
      </c>
      <c r="G74" s="3"/>
      <c r="H74" s="8">
        <v>6038.31</v>
      </c>
      <c r="I74" s="3"/>
      <c r="J74" s="7">
        <f t="shared" si="13"/>
        <v>9.6709050112191483E-2</v>
      </c>
      <c r="K74" s="3"/>
      <c r="L74" s="8">
        <f t="shared" si="14"/>
        <v>2152.12</v>
      </c>
      <c r="M74" s="3"/>
      <c r="N74" s="7">
        <f t="shared" si="15"/>
        <v>0.35641098254312875</v>
      </c>
      <c r="O74" s="12"/>
      <c r="P74" s="8">
        <v>50625.31</v>
      </c>
      <c r="Q74" s="3"/>
      <c r="R74" s="7">
        <f t="shared" si="16"/>
        <v>2.9912651751123179E-2</v>
      </c>
      <c r="S74" s="3"/>
      <c r="T74" s="8">
        <v>53932.72</v>
      </c>
      <c r="U74" s="3"/>
      <c r="V74" s="7">
        <f t="shared" si="17"/>
        <v>2.8901713381110486E-2</v>
      </c>
      <c r="W74" s="3"/>
      <c r="X74" s="8">
        <f t="shared" si="18"/>
        <v>-3307.4100000000035</v>
      </c>
      <c r="Y74" s="3"/>
      <c r="Z74" s="7">
        <f t="shared" si="19"/>
        <v>-6.1324739416072534E-2</v>
      </c>
    </row>
    <row r="75" spans="1:26" s="69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14698.31</v>
      </c>
      <c r="Q75" s="3"/>
      <c r="R75" s="7">
        <f t="shared" si="16"/>
        <v>8.6846960218130275E-3</v>
      </c>
      <c r="S75" s="3"/>
      <c r="T75" s="8">
        <v>12838</v>
      </c>
      <c r="U75" s="3"/>
      <c r="V75" s="7">
        <f t="shared" si="17"/>
        <v>6.8796863274594054E-3</v>
      </c>
      <c r="W75" s="3"/>
      <c r="X75" s="8">
        <f t="shared" si="18"/>
        <v>1860.3099999999995</v>
      </c>
      <c r="Y75" s="3"/>
      <c r="Z75" s="7">
        <f t="shared" si="19"/>
        <v>0.14490652749649474</v>
      </c>
    </row>
    <row r="76" spans="1:26" s="69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/>
      <c r="Q76" s="3"/>
      <c r="R76" s="7">
        <f t="shared" si="16"/>
        <v>0</v>
      </c>
      <c r="S76" s="3"/>
      <c r="T76" s="8">
        <v>502.29</v>
      </c>
      <c r="U76" s="3"/>
      <c r="V76" s="7">
        <f t="shared" si="17"/>
        <v>2.6916946918675687E-4</v>
      </c>
      <c r="W76" s="3"/>
      <c r="X76" s="8">
        <f t="shared" si="18"/>
        <v>-502.29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8">
        <v>-271.35000000000002</v>
      </c>
      <c r="E77" s="3"/>
      <c r="F77" s="7">
        <f t="shared" si="12"/>
        <v>-1.8854338544153234E-3</v>
      </c>
      <c r="G77" s="3"/>
      <c r="H77" s="8">
        <v>541.22</v>
      </c>
      <c r="I77" s="3"/>
      <c r="J77" s="7">
        <f t="shared" si="13"/>
        <v>8.6681326566076054E-3</v>
      </c>
      <c r="K77" s="3"/>
      <c r="L77" s="8">
        <f t="shared" si="14"/>
        <v>-812.57</v>
      </c>
      <c r="M77" s="3"/>
      <c r="N77" s="7">
        <f t="shared" si="15"/>
        <v>-1.5013672813273715</v>
      </c>
      <c r="O77" s="12"/>
      <c r="P77" s="8">
        <v>23570.37</v>
      </c>
      <c r="Q77" s="3"/>
      <c r="R77" s="7">
        <f t="shared" si="16"/>
        <v>1.3926873128384226E-2</v>
      </c>
      <c r="S77" s="3"/>
      <c r="T77" s="8">
        <v>21343.18</v>
      </c>
      <c r="U77" s="3"/>
      <c r="V77" s="7">
        <f t="shared" si="17"/>
        <v>1.1437481198824196E-2</v>
      </c>
      <c r="W77" s="3"/>
      <c r="X77" s="8">
        <f t="shared" si="18"/>
        <v>2227.1899999999987</v>
      </c>
      <c r="Y77" s="3"/>
      <c r="Z77" s="7">
        <f t="shared" si="19"/>
        <v>0.10435136657236638</v>
      </c>
    </row>
    <row r="78" spans="1:26" s="69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8"/>
      <c r="E78" s="3"/>
      <c r="F78" s="7">
        <f t="shared" si="12"/>
        <v>0</v>
      </c>
      <c r="G78" s="3"/>
      <c r="H78" s="8">
        <v>284.89999999999998</v>
      </c>
      <c r="I78" s="3"/>
      <c r="J78" s="7">
        <f t="shared" si="13"/>
        <v>4.5629337309550768E-3</v>
      </c>
      <c r="K78" s="3"/>
      <c r="L78" s="8">
        <f t="shared" si="14"/>
        <v>-284.89999999999998</v>
      </c>
      <c r="M78" s="3"/>
      <c r="N78" s="7">
        <f t="shared" si="15"/>
        <v>-1</v>
      </c>
      <c r="O78" s="12"/>
      <c r="P78" s="8">
        <v>3966.48</v>
      </c>
      <c r="Q78" s="3"/>
      <c r="R78" s="7">
        <f t="shared" si="16"/>
        <v>2.343648560725753E-3</v>
      </c>
      <c r="S78" s="3"/>
      <c r="T78" s="8">
        <v>967.26</v>
      </c>
      <c r="U78" s="3"/>
      <c r="V78" s="7">
        <f t="shared" si="17"/>
        <v>5.1833972558797202E-4</v>
      </c>
      <c r="W78" s="3"/>
      <c r="X78" s="8">
        <f t="shared" si="18"/>
        <v>2999.2200000000003</v>
      </c>
      <c r="Y78" s="3"/>
      <c r="Z78" s="7">
        <f t="shared" si="19"/>
        <v>3.100738167607469</v>
      </c>
    </row>
    <row r="79" spans="1:26" s="68" customFormat="1" ht="15" customHeight="1" outlineLevel="1" collapsed="1" x14ac:dyDescent="0.3">
      <c r="A79" s="25"/>
      <c r="B79" s="14" t="str">
        <f>CONCATENATE("     ","Advertising/Promo                                 ")</f>
        <v xml:space="preserve">     Advertising/Promo                                 </v>
      </c>
      <c r="C79" s="14"/>
      <c r="D79" s="2">
        <f>SUM(OSRRefD22_2x_0)</f>
        <v>40.54</v>
      </c>
      <c r="E79" s="2"/>
      <c r="F79" s="6">
        <f t="shared" si="12"/>
        <v>2.8168597183710043E-4</v>
      </c>
      <c r="G79" s="2"/>
      <c r="H79" s="2">
        <f>SUM(OSRRefH22_2x_0)</f>
        <v>0</v>
      </c>
      <c r="I79" s="2"/>
      <c r="J79" s="6">
        <f t="shared" si="13"/>
        <v>0</v>
      </c>
      <c r="K79" s="2"/>
      <c r="L79" s="2">
        <f t="shared" si="14"/>
        <v>40.54</v>
      </c>
      <c r="M79" s="2"/>
      <c r="N79" s="6">
        <f t="shared" si="15"/>
        <v>0</v>
      </c>
      <c r="O79" s="14"/>
      <c r="P79" s="2">
        <f>SUM(OSRRefP22_2x_0)</f>
        <v>837.79</v>
      </c>
      <c r="Q79" s="2"/>
      <c r="R79" s="6">
        <f t="shared" si="16"/>
        <v>4.9501959613824562E-4</v>
      </c>
      <c r="S79" s="2"/>
      <c r="T79" s="2">
        <f>SUM(OSRRefT22_2x_0)</f>
        <v>1999.55</v>
      </c>
      <c r="U79" s="2"/>
      <c r="V79" s="6">
        <f t="shared" si="17"/>
        <v>1.0715280258662917E-3</v>
      </c>
      <c r="W79" s="2"/>
      <c r="X79" s="2">
        <f t="shared" si="18"/>
        <v>-1161.76</v>
      </c>
      <c r="Y79" s="2"/>
      <c r="Z79" s="6">
        <f t="shared" si="19"/>
        <v>-0.5810107274136681</v>
      </c>
    </row>
    <row r="80" spans="1:26" s="69" customFormat="1" ht="15" hidden="1" customHeight="1" outlineLevel="2" x14ac:dyDescent="0.3">
      <c r="A80" s="26"/>
      <c r="B80" s="12" t="str">
        <f>CONCATENATE("          ","6362"," - ","ADVERTISING EXPENSE")</f>
        <v xml:space="preserve">          6362 - ADVERTISING EXPENSE</v>
      </c>
      <c r="C80" s="12"/>
      <c r="D80" s="8">
        <v>40.54</v>
      </c>
      <c r="E80" s="3"/>
      <c r="F80" s="7">
        <f t="shared" si="12"/>
        <v>2.8168597183710043E-4</v>
      </c>
      <c r="G80" s="3"/>
      <c r="H80" s="8"/>
      <c r="I80" s="3"/>
      <c r="J80" s="7">
        <f t="shared" si="13"/>
        <v>0</v>
      </c>
      <c r="K80" s="3"/>
      <c r="L80" s="8">
        <f t="shared" si="14"/>
        <v>40.54</v>
      </c>
      <c r="M80" s="3"/>
      <c r="N80" s="7">
        <f t="shared" si="15"/>
        <v>0</v>
      </c>
      <c r="O80" s="12"/>
      <c r="P80" s="8">
        <v>837.79</v>
      </c>
      <c r="Q80" s="3"/>
      <c r="R80" s="7">
        <f t="shared" si="16"/>
        <v>4.9501959613824562E-4</v>
      </c>
      <c r="S80" s="3"/>
      <c r="T80" s="8">
        <v>1999.55</v>
      </c>
      <c r="U80" s="3"/>
      <c r="V80" s="7">
        <f t="shared" si="17"/>
        <v>1.0715280258662917E-3</v>
      </c>
      <c r="W80" s="3"/>
      <c r="X80" s="8">
        <f t="shared" si="18"/>
        <v>-1161.76</v>
      </c>
      <c r="Y80" s="3"/>
      <c r="Z80" s="7">
        <f t="shared" si="19"/>
        <v>-0.5810107274136681</v>
      </c>
    </row>
    <row r="81" spans="1:26" s="68" customFormat="1" ht="15" customHeight="1" outlineLevel="1" collapsed="1" x14ac:dyDescent="0.3">
      <c r="A81" s="25"/>
      <c r="B81" s="14" t="str">
        <f>CONCATENATE("     ","Discounts and Markdowns                           ")</f>
        <v xml:space="preserve">     Discounts and Markdowns                           </v>
      </c>
      <c r="C81" s="14"/>
      <c r="D81" s="2">
        <f>SUM(OSRRefD22_3x_0)</f>
        <v>0</v>
      </c>
      <c r="E81" s="2"/>
      <c r="F81" s="6">
        <f t="shared" si="12"/>
        <v>0</v>
      </c>
      <c r="G81" s="2"/>
      <c r="H81" s="2">
        <f>SUM(OSRRefH22_3x_0)</f>
        <v>42.86</v>
      </c>
      <c r="I81" s="2"/>
      <c r="J81" s="6">
        <f t="shared" si="13"/>
        <v>6.8644204881970728E-4</v>
      </c>
      <c r="K81" s="2"/>
      <c r="L81" s="2">
        <f t="shared" si="14"/>
        <v>-42.86</v>
      </c>
      <c r="M81" s="2"/>
      <c r="N81" s="6">
        <f t="shared" si="15"/>
        <v>-1</v>
      </c>
      <c r="O81" s="14"/>
      <c r="P81" s="2">
        <f>SUM(OSRRefP22_3x_0)</f>
        <v>1.35</v>
      </c>
      <c r="Q81" s="2"/>
      <c r="R81" s="6">
        <f t="shared" si="16"/>
        <v>7.9766582889104862E-7</v>
      </c>
      <c r="S81" s="2"/>
      <c r="T81" s="2">
        <f>SUM(OSRRefT22_3x_0)</f>
        <v>0</v>
      </c>
      <c r="U81" s="2"/>
      <c r="V81" s="6">
        <f t="shared" si="17"/>
        <v>0</v>
      </c>
      <c r="W81" s="2"/>
      <c r="X81" s="2">
        <f t="shared" si="18"/>
        <v>1.35</v>
      </c>
      <c r="Y81" s="2"/>
      <c r="Z81" s="6">
        <f t="shared" si="19"/>
        <v>0</v>
      </c>
    </row>
    <row r="82" spans="1:26" s="69" customFormat="1" ht="15" hidden="1" customHeight="1" outlineLevel="2" x14ac:dyDescent="0.3">
      <c r="A82" s="26"/>
      <c r="B82" s="12" t="str">
        <f>CONCATENATE("          ","6382"," - ","DISCOUNTS/MARK DOWNS")</f>
        <v xml:space="preserve">          6382 - DISCOUNTS/MARK DOWNS</v>
      </c>
      <c r="C82" s="12"/>
      <c r="D82" s="8"/>
      <c r="E82" s="3"/>
      <c r="F82" s="7">
        <f t="shared" si="12"/>
        <v>0</v>
      </c>
      <c r="G82" s="3"/>
      <c r="H82" s="8">
        <v>0</v>
      </c>
      <c r="I82" s="3"/>
      <c r="J82" s="7">
        <f t="shared" si="13"/>
        <v>0</v>
      </c>
      <c r="K82" s="3"/>
      <c r="L82" s="8">
        <f t="shared" si="14"/>
        <v>0</v>
      </c>
      <c r="M82" s="3"/>
      <c r="N82" s="7">
        <f t="shared" si="15"/>
        <v>0</v>
      </c>
      <c r="O82" s="12"/>
      <c r="P82" s="8">
        <v>1.35</v>
      </c>
      <c r="Q82" s="3"/>
      <c r="R82" s="7">
        <f t="shared" si="16"/>
        <v>7.9766582889104862E-7</v>
      </c>
      <c r="S82" s="3"/>
      <c r="T82" s="8">
        <v>0</v>
      </c>
      <c r="U82" s="3"/>
      <c r="V82" s="7">
        <f t="shared" si="17"/>
        <v>0</v>
      </c>
      <c r="W82" s="3"/>
      <c r="X82" s="8">
        <f t="shared" si="18"/>
        <v>1.35</v>
      </c>
      <c r="Y82" s="3"/>
      <c r="Z82" s="7">
        <f t="shared" si="19"/>
        <v>0</v>
      </c>
    </row>
    <row r="83" spans="1:26" s="69" customFormat="1" ht="15" hidden="1" customHeight="1" outlineLevel="2" x14ac:dyDescent="0.3">
      <c r="A83" s="26"/>
      <c r="B83" s="12" t="str">
        <f>CONCATENATE("          ","9175"," - ","EARNED DISCOUNTS")</f>
        <v xml:space="preserve">          9175 - EARNED DISCOUNTS</v>
      </c>
      <c r="C83" s="12"/>
      <c r="D83" s="8"/>
      <c r="E83" s="3"/>
      <c r="F83" s="7">
        <f t="shared" si="12"/>
        <v>0</v>
      </c>
      <c r="G83" s="3"/>
      <c r="H83" s="8">
        <v>42.86</v>
      </c>
      <c r="I83" s="3"/>
      <c r="J83" s="7">
        <f t="shared" si="13"/>
        <v>6.8644204881970728E-4</v>
      </c>
      <c r="K83" s="3"/>
      <c r="L83" s="8">
        <f t="shared" si="14"/>
        <v>-42.86</v>
      </c>
      <c r="M83" s="3"/>
      <c r="N83" s="7">
        <f t="shared" si="15"/>
        <v>-1</v>
      </c>
      <c r="O83" s="12"/>
      <c r="P83" s="8"/>
      <c r="Q83" s="3"/>
      <c r="R83" s="7">
        <f t="shared" si="16"/>
        <v>0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0</v>
      </c>
      <c r="Y83" s="3"/>
      <c r="Z83" s="7">
        <f t="shared" si="19"/>
        <v>0</v>
      </c>
    </row>
    <row r="84" spans="1:26" s="68" customFormat="1" ht="15" customHeight="1" outlineLevel="1" collapsed="1" x14ac:dyDescent="0.3">
      <c r="A84" s="25"/>
      <c r="B84" s="14" t="str">
        <f>CONCATENATE("     ","Employees' Appreciation                           ")</f>
        <v xml:space="preserve">     Employees' Appreciation                           </v>
      </c>
      <c r="C84" s="14"/>
      <c r="D84" s="2">
        <f>SUM(OSRRefD22_4x_0)</f>
        <v>0</v>
      </c>
      <c r="E84" s="2"/>
      <c r="F84" s="6">
        <f t="shared" si="12"/>
        <v>0</v>
      </c>
      <c r="G84" s="2"/>
      <c r="H84" s="2">
        <f>SUM(OSRRefH22_4x_0)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SUM(OSRRefP22_4x_0)</f>
        <v>0</v>
      </c>
      <c r="Q84" s="2"/>
      <c r="R84" s="6">
        <f t="shared" si="16"/>
        <v>0</v>
      </c>
      <c r="S84" s="2"/>
      <c r="T84" s="2">
        <f>SUM(OSRRefT22_4x_0)</f>
        <v>107.7</v>
      </c>
      <c r="U84" s="2"/>
      <c r="V84" s="6">
        <f t="shared" si="17"/>
        <v>5.771477001615345E-5</v>
      </c>
      <c r="W84" s="2"/>
      <c r="X84" s="2">
        <f t="shared" si="18"/>
        <v>-107.7</v>
      </c>
      <c r="Y84" s="2"/>
      <c r="Z84" s="6">
        <f t="shared" si="19"/>
        <v>-1</v>
      </c>
    </row>
    <row r="85" spans="1:26" s="69" customFormat="1" ht="15" hidden="1" customHeight="1" outlineLevel="2" x14ac:dyDescent="0.3">
      <c r="A85" s="26"/>
      <c r="B85" s="12" t="str">
        <f>CONCATENATE("          ","6277"," - ","EMPLOYEE APPRECIATION")</f>
        <v xml:space="preserve">          6277 - EMPLOYEE APPRECIATION</v>
      </c>
      <c r="C85" s="12"/>
      <c r="D85" s="8"/>
      <c r="E85" s="3"/>
      <c r="F85" s="7">
        <f t="shared" si="12"/>
        <v>0</v>
      </c>
      <c r="G85" s="3"/>
      <c r="H85" s="8">
        <v>0</v>
      </c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/>
      <c r="Q85" s="3"/>
      <c r="R85" s="7">
        <f t="shared" si="16"/>
        <v>0</v>
      </c>
      <c r="S85" s="3"/>
      <c r="T85" s="8">
        <v>107.7</v>
      </c>
      <c r="U85" s="3"/>
      <c r="V85" s="7">
        <f t="shared" si="17"/>
        <v>5.771477001615345E-5</v>
      </c>
      <c r="W85" s="3"/>
      <c r="X85" s="8">
        <f t="shared" si="18"/>
        <v>-107.7</v>
      </c>
      <c r="Y85" s="3"/>
      <c r="Z85" s="7">
        <f t="shared" si="19"/>
        <v>-1</v>
      </c>
    </row>
    <row r="86" spans="1:26" s="68" customFormat="1" ht="15" customHeight="1" outlineLevel="1" collapsed="1" x14ac:dyDescent="0.3">
      <c r="A86" s="25"/>
      <c r="B86" s="14" t="str">
        <f>CONCATENATE("     ","Equipment Rental                                  ")</f>
        <v xml:space="preserve">     Equipment Rental                                  </v>
      </c>
      <c r="C86" s="14"/>
      <c r="D86" s="2">
        <f>SUM(OSRRefD22_5x_0)</f>
        <v>91.26</v>
      </c>
      <c r="E86" s="2"/>
      <c r="F86" s="6">
        <f t="shared" si="12"/>
        <v>6.3410611223122318E-4</v>
      </c>
      <c r="G86" s="2"/>
      <c r="H86" s="2">
        <f>SUM(OSRRefH22_5x_0)</f>
        <v>91.26</v>
      </c>
      <c r="I86" s="2"/>
      <c r="J86" s="6">
        <f t="shared" si="13"/>
        <v>1.4616122579394887E-3</v>
      </c>
      <c r="K86" s="2"/>
      <c r="L86" s="2">
        <f t="shared" si="14"/>
        <v>0</v>
      </c>
      <c r="M86" s="2"/>
      <c r="N86" s="6">
        <f t="shared" si="15"/>
        <v>0</v>
      </c>
      <c r="O86" s="14"/>
      <c r="P86" s="2">
        <f>SUM(OSRRefP22_5x_0)</f>
        <v>730.08</v>
      </c>
      <c r="Q86" s="2"/>
      <c r="R86" s="6">
        <f t="shared" si="16"/>
        <v>4.3137768026427908E-4</v>
      </c>
      <c r="S86" s="2"/>
      <c r="T86" s="2">
        <f>SUM(OSRRefT22_5x_0)</f>
        <v>730.08</v>
      </c>
      <c r="U86" s="2"/>
      <c r="V86" s="6">
        <f t="shared" si="17"/>
        <v>3.9123861925156276E-4</v>
      </c>
      <c r="W86" s="2"/>
      <c r="X86" s="2">
        <f t="shared" si="18"/>
        <v>0</v>
      </c>
      <c r="Y86" s="2"/>
      <c r="Z86" s="6">
        <f t="shared" si="19"/>
        <v>0</v>
      </c>
    </row>
    <row r="87" spans="1:26" s="69" customFormat="1" ht="15" hidden="1" customHeight="1" outlineLevel="2" x14ac:dyDescent="0.3">
      <c r="A87" s="26"/>
      <c r="B87" s="12" t="str">
        <f>CONCATENATE("          ","6351"," - ","EQUIPMENT RENTAL")</f>
        <v xml:space="preserve">          6351 - EQUIPMENT RENTAL</v>
      </c>
      <c r="C87" s="12"/>
      <c r="D87" s="8">
        <v>91.26</v>
      </c>
      <c r="E87" s="3"/>
      <c r="F87" s="7">
        <f t="shared" si="12"/>
        <v>6.3410611223122318E-4</v>
      </c>
      <c r="G87" s="3"/>
      <c r="H87" s="8">
        <v>91.26</v>
      </c>
      <c r="I87" s="3"/>
      <c r="J87" s="7">
        <f t="shared" si="13"/>
        <v>1.4616122579394887E-3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>
        <v>730.08</v>
      </c>
      <c r="Q87" s="3"/>
      <c r="R87" s="7">
        <f t="shared" si="16"/>
        <v>4.3137768026427908E-4</v>
      </c>
      <c r="S87" s="3"/>
      <c r="T87" s="8">
        <v>730.08</v>
      </c>
      <c r="U87" s="3"/>
      <c r="V87" s="7">
        <f t="shared" si="17"/>
        <v>3.9123861925156276E-4</v>
      </c>
      <c r="W87" s="3"/>
      <c r="X87" s="8">
        <f t="shared" si="18"/>
        <v>0</v>
      </c>
      <c r="Y87" s="3"/>
      <c r="Z87" s="7">
        <f t="shared" si="19"/>
        <v>0</v>
      </c>
    </row>
    <row r="88" spans="1:26" s="68" customFormat="1" ht="15" customHeight="1" outlineLevel="1" collapsed="1" x14ac:dyDescent="0.3">
      <c r="A88" s="25"/>
      <c r="B88" s="14" t="str">
        <f>CONCATENATE("     ","Freight out/Postage                               ")</f>
        <v xml:space="preserve">     Freight out/Postage                               </v>
      </c>
      <c r="C88" s="14"/>
      <c r="D88" s="2">
        <f>SUM(OSRRefD22_6x_0)</f>
        <v>1.06</v>
      </c>
      <c r="E88" s="2"/>
      <c r="F88" s="6">
        <f t="shared" si="12"/>
        <v>7.3652474135995682E-6</v>
      </c>
      <c r="G88" s="2"/>
      <c r="H88" s="2">
        <f>SUM(OSRRefH22_6x_0)</f>
        <v>1294.28</v>
      </c>
      <c r="I88" s="2"/>
      <c r="J88" s="6">
        <f t="shared" si="13"/>
        <v>2.0729076410321293E-2</v>
      </c>
      <c r="K88" s="2"/>
      <c r="L88" s="2">
        <f t="shared" si="14"/>
        <v>-1293.22</v>
      </c>
      <c r="M88" s="2"/>
      <c r="N88" s="6">
        <f t="shared" si="15"/>
        <v>-0.99918101183669694</v>
      </c>
      <c r="O88" s="14"/>
      <c r="P88" s="2">
        <f>SUM(OSRRefP22_6x_0)</f>
        <v>5623.17</v>
      </c>
      <c r="Q88" s="2"/>
      <c r="R88" s="6">
        <f t="shared" si="16"/>
        <v>3.3225263400335392E-3</v>
      </c>
      <c r="S88" s="2"/>
      <c r="T88" s="2">
        <f>SUM(OSRRefT22_6x_0)</f>
        <v>10464.33</v>
      </c>
      <c r="U88" s="2"/>
      <c r="V88" s="6">
        <f t="shared" si="17"/>
        <v>5.6076731599176881E-3</v>
      </c>
      <c r="W88" s="2"/>
      <c r="X88" s="2">
        <f t="shared" si="18"/>
        <v>-4841.16</v>
      </c>
      <c r="Y88" s="2"/>
      <c r="Z88" s="6">
        <f t="shared" si="19"/>
        <v>-0.46263449260487771</v>
      </c>
    </row>
    <row r="89" spans="1:26" s="69" customFormat="1" ht="15" hidden="1" customHeight="1" outlineLevel="2" x14ac:dyDescent="0.3">
      <c r="A89" s="26"/>
      <c r="B89" s="12" t="str">
        <f>CONCATENATE("          ","6305"," - ","FREIGHT OUT")</f>
        <v xml:space="preserve">          6305 - FREIGHT OUT</v>
      </c>
      <c r="C89" s="12"/>
      <c r="D89" s="8"/>
      <c r="E89" s="3"/>
      <c r="F89" s="7">
        <f t="shared" si="12"/>
        <v>0</v>
      </c>
      <c r="G89" s="3"/>
      <c r="H89" s="8">
        <v>1294.28</v>
      </c>
      <c r="I89" s="3"/>
      <c r="J89" s="7">
        <f t="shared" si="13"/>
        <v>2.0729076410321293E-2</v>
      </c>
      <c r="K89" s="3"/>
      <c r="L89" s="8">
        <f t="shared" si="14"/>
        <v>-1294.28</v>
      </c>
      <c r="M89" s="3"/>
      <c r="N89" s="7">
        <f t="shared" si="15"/>
        <v>-1</v>
      </c>
      <c r="O89" s="12"/>
      <c r="P89" s="8">
        <v>5621.58</v>
      </c>
      <c r="Q89" s="3"/>
      <c r="R89" s="7">
        <f t="shared" si="16"/>
        <v>3.3215868669461785E-3</v>
      </c>
      <c r="S89" s="3"/>
      <c r="T89" s="8">
        <v>10463.83</v>
      </c>
      <c r="U89" s="3"/>
      <c r="V89" s="7">
        <f t="shared" si="17"/>
        <v>5.6074052176242053E-3</v>
      </c>
      <c r="W89" s="3"/>
      <c r="X89" s="8">
        <f t="shared" si="18"/>
        <v>-4842.25</v>
      </c>
      <c r="Y89" s="3"/>
      <c r="Z89" s="7">
        <f t="shared" si="19"/>
        <v>-0.46276076732897992</v>
      </c>
    </row>
    <row r="90" spans="1:26" s="69" customFormat="1" ht="15" hidden="1" customHeight="1" outlineLevel="2" x14ac:dyDescent="0.3">
      <c r="A90" s="26"/>
      <c r="B90" s="12" t="str">
        <f>CONCATENATE("          ","6307"," - ","POSTAGE")</f>
        <v xml:space="preserve">          6307 - POSTAGE</v>
      </c>
      <c r="C90" s="12"/>
      <c r="D90" s="8">
        <v>1.06</v>
      </c>
      <c r="E90" s="3"/>
      <c r="F90" s="7">
        <f t="shared" si="12"/>
        <v>7.3652474135995682E-6</v>
      </c>
      <c r="G90" s="3"/>
      <c r="H90" s="8"/>
      <c r="I90" s="3"/>
      <c r="J90" s="7">
        <f t="shared" si="13"/>
        <v>0</v>
      </c>
      <c r="K90" s="3"/>
      <c r="L90" s="8">
        <f t="shared" si="14"/>
        <v>1.06</v>
      </c>
      <c r="M90" s="3"/>
      <c r="N90" s="7">
        <f t="shared" si="15"/>
        <v>0</v>
      </c>
      <c r="O90" s="12"/>
      <c r="P90" s="8">
        <v>1.59</v>
      </c>
      <c r="Q90" s="3"/>
      <c r="R90" s="7">
        <f t="shared" si="16"/>
        <v>9.3947308736056844E-7</v>
      </c>
      <c r="S90" s="3"/>
      <c r="T90" s="8">
        <v>0.5</v>
      </c>
      <c r="U90" s="3"/>
      <c r="V90" s="7">
        <f t="shared" si="17"/>
        <v>2.6794229348260651E-7</v>
      </c>
      <c r="W90" s="3"/>
      <c r="X90" s="8">
        <f t="shared" si="18"/>
        <v>1.0900000000000001</v>
      </c>
      <c r="Y90" s="3"/>
      <c r="Z90" s="7">
        <f t="shared" si="19"/>
        <v>2.1800000000000002</v>
      </c>
    </row>
    <row r="91" spans="1:26" s="68" customFormat="1" ht="15" customHeight="1" outlineLevel="1" collapsed="1" x14ac:dyDescent="0.3">
      <c r="A91" s="25"/>
      <c r="B91" s="14" t="str">
        <f>CONCATENATE("     ","General                                           ")</f>
        <v xml:space="preserve">     General                                           </v>
      </c>
      <c r="C91" s="14"/>
      <c r="D91" s="2">
        <f>SUM(OSRRefD22_7x_0)</f>
        <v>0</v>
      </c>
      <c r="E91" s="2"/>
      <c r="F91" s="6">
        <f t="shared" si="12"/>
        <v>0</v>
      </c>
      <c r="G91" s="2"/>
      <c r="H91" s="2">
        <f>SUM(OSRRefH22_7x_0)</f>
        <v>-4.21</v>
      </c>
      <c r="I91" s="2"/>
      <c r="J91" s="6">
        <f t="shared" si="13"/>
        <v>-6.742699546269173E-5</v>
      </c>
      <c r="K91" s="2"/>
      <c r="L91" s="2">
        <f t="shared" si="14"/>
        <v>4.21</v>
      </c>
      <c r="M91" s="2"/>
      <c r="N91" s="6">
        <f t="shared" si="15"/>
        <v>-1</v>
      </c>
      <c r="O91" s="14"/>
      <c r="P91" s="2">
        <f>SUM(OSRRefP22_7x_0)</f>
        <v>0</v>
      </c>
      <c r="Q91" s="2"/>
      <c r="R91" s="6">
        <f t="shared" si="16"/>
        <v>0</v>
      </c>
      <c r="S91" s="2"/>
      <c r="T91" s="2">
        <f>SUM(OSRRefT22_7x_0)</f>
        <v>-1042.03</v>
      </c>
      <c r="U91" s="2"/>
      <c r="V91" s="6">
        <f t="shared" si="17"/>
        <v>-5.5840781615536098E-4</v>
      </c>
      <c r="W91" s="2"/>
      <c r="X91" s="2">
        <f t="shared" si="18"/>
        <v>1042.03</v>
      </c>
      <c r="Y91" s="2"/>
      <c r="Z91" s="6">
        <f t="shared" si="19"/>
        <v>-1</v>
      </c>
    </row>
    <row r="92" spans="1:26" s="69" customFormat="1" ht="15" hidden="1" customHeight="1" outlineLevel="2" x14ac:dyDescent="0.3">
      <c r="A92" s="26"/>
      <c r="B92" s="12" t="str">
        <f>CONCATENATE("          ","6279"," - ","GENERAL EXPENSE")</f>
        <v xml:space="preserve">          6279 - GENERAL EXPENSE</v>
      </c>
      <c r="C92" s="12"/>
      <c r="D92" s="8"/>
      <c r="E92" s="3"/>
      <c r="F92" s="7">
        <f t="shared" ref="F92:F109" si="20">IF(D$12=0,0,D92/D$12)</f>
        <v>0</v>
      </c>
      <c r="G92" s="3"/>
      <c r="H92" s="8">
        <v>-4.21</v>
      </c>
      <c r="I92" s="3"/>
      <c r="J92" s="7">
        <f t="shared" ref="J92:J109" si="21">IF(H$12=0,0,H92/H$12)</f>
        <v>-6.742699546269173E-5</v>
      </c>
      <c r="K92" s="3"/>
      <c r="L92" s="8">
        <f t="shared" ref="L92:L109" si="22">+D92-H92</f>
        <v>4.21</v>
      </c>
      <c r="M92" s="3"/>
      <c r="N92" s="7">
        <f t="shared" ref="N92:N109" si="23">IF(H92=0,0,L92/H92)</f>
        <v>-1</v>
      </c>
      <c r="O92" s="12"/>
      <c r="P92" s="8"/>
      <c r="Q92" s="3"/>
      <c r="R92" s="7">
        <f t="shared" ref="R92:R109" si="24">IF(P$12=0,0,P92/P$12)</f>
        <v>0</v>
      </c>
      <c r="S92" s="3"/>
      <c r="T92" s="8">
        <v>-1042.03</v>
      </c>
      <c r="U92" s="3"/>
      <c r="V92" s="7">
        <f t="shared" ref="V92:V109" si="25">IF(T$12=0,0,T92/T$12)</f>
        <v>-5.5840781615536098E-4</v>
      </c>
      <c r="W92" s="3"/>
      <c r="X92" s="8">
        <f t="shared" ref="X92:X109" si="26">+P92-T92</f>
        <v>1042.03</v>
      </c>
      <c r="Y92" s="3"/>
      <c r="Z92" s="7">
        <f t="shared" ref="Z92:Z109" si="27">IF(T92=0,0,X92/T92)</f>
        <v>-1</v>
      </c>
    </row>
    <row r="93" spans="1:26" s="68" customFormat="1" ht="15" customHeight="1" outlineLevel="1" collapsed="1" x14ac:dyDescent="0.3">
      <c r="A93" s="25"/>
      <c r="B93" s="14" t="str">
        <f>CONCATENATE("     ","Inventory Adjustment                              ")</f>
        <v xml:space="preserve">     Inventory Adjustment                              </v>
      </c>
      <c r="C93" s="14"/>
      <c r="D93" s="2">
        <f>SUM(OSRRefD22_8x_0)</f>
        <v>1000</v>
      </c>
      <c r="E93" s="2"/>
      <c r="F93" s="6">
        <f t="shared" si="20"/>
        <v>6.9483466166033658E-3</v>
      </c>
      <c r="G93" s="2"/>
      <c r="H93" s="2">
        <f>SUM(OSRRefH22_8x_0)</f>
        <v>1000</v>
      </c>
      <c r="I93" s="2"/>
      <c r="J93" s="6">
        <f t="shared" si="21"/>
        <v>1.6015913411565733E-2</v>
      </c>
      <c r="K93" s="2"/>
      <c r="L93" s="2">
        <f t="shared" si="22"/>
        <v>0</v>
      </c>
      <c r="M93" s="2"/>
      <c r="N93" s="6">
        <f t="shared" si="23"/>
        <v>0</v>
      </c>
      <c r="O93" s="14"/>
      <c r="P93" s="2">
        <f>SUM(OSRRefP22_8x_0)</f>
        <v>12000</v>
      </c>
      <c r="Q93" s="2"/>
      <c r="R93" s="6">
        <f t="shared" si="24"/>
        <v>7.0903629234759877E-3</v>
      </c>
      <c r="S93" s="2"/>
      <c r="T93" s="2">
        <f>SUM(OSRRefT22_8x_0)</f>
        <v>13000</v>
      </c>
      <c r="U93" s="2"/>
      <c r="V93" s="6">
        <f t="shared" si="25"/>
        <v>6.9664996305477695E-3</v>
      </c>
      <c r="W93" s="2"/>
      <c r="X93" s="2">
        <f t="shared" si="26"/>
        <v>-1000</v>
      </c>
      <c r="Y93" s="2"/>
      <c r="Z93" s="6">
        <f t="shared" si="27"/>
        <v>-7.6923076923076927E-2</v>
      </c>
    </row>
    <row r="94" spans="1:26" s="69" customFormat="1" ht="15" hidden="1" customHeight="1" outlineLevel="2" x14ac:dyDescent="0.3">
      <c r="A94" s="26"/>
      <c r="B94" s="12" t="str">
        <f>CONCATENATE("          ","6408"," - ","INVENTORY ADJUSTMENT")</f>
        <v xml:space="preserve">          6408 - INVENTORY ADJUSTMENT</v>
      </c>
      <c r="C94" s="12"/>
      <c r="D94" s="8">
        <v>1000</v>
      </c>
      <c r="E94" s="3"/>
      <c r="F94" s="7">
        <f t="shared" si="20"/>
        <v>6.9483466166033658E-3</v>
      </c>
      <c r="G94" s="3"/>
      <c r="H94" s="8">
        <v>1000</v>
      </c>
      <c r="I94" s="3"/>
      <c r="J94" s="7">
        <f t="shared" si="21"/>
        <v>1.6015913411565733E-2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>
        <v>12000</v>
      </c>
      <c r="Q94" s="3"/>
      <c r="R94" s="7">
        <f t="shared" si="24"/>
        <v>7.0903629234759877E-3</v>
      </c>
      <c r="S94" s="3"/>
      <c r="T94" s="8">
        <v>13000</v>
      </c>
      <c r="U94" s="3"/>
      <c r="V94" s="7">
        <f t="shared" si="25"/>
        <v>6.9664996305477695E-3</v>
      </c>
      <c r="W94" s="3"/>
      <c r="X94" s="8">
        <f t="shared" si="26"/>
        <v>-1000</v>
      </c>
      <c r="Y94" s="3"/>
      <c r="Z94" s="7">
        <f t="shared" si="27"/>
        <v>-7.6923076923076927E-2</v>
      </c>
    </row>
    <row r="95" spans="1:26" s="68" customFormat="1" ht="15" customHeight="1" outlineLevel="1" collapsed="1" x14ac:dyDescent="0.3">
      <c r="A95" s="25"/>
      <c r="B95" s="14" t="str">
        <f>CONCATENATE("     ","Repair and Maintenance                            ")</f>
        <v xml:space="preserve">     Repair and Maintenance                            </v>
      </c>
      <c r="C95" s="14"/>
      <c r="D95" s="2">
        <f>SUM(OSRRefD22_9x_0)</f>
        <v>16.850000000000001</v>
      </c>
      <c r="E95" s="2"/>
      <c r="F95" s="6">
        <f t="shared" si="20"/>
        <v>1.1707964048976673E-4</v>
      </c>
      <c r="G95" s="2"/>
      <c r="H95" s="2">
        <f>SUM(OSRRefH22_9x_0)</f>
        <v>15.47</v>
      </c>
      <c r="I95" s="2"/>
      <c r="J95" s="6">
        <f t="shared" si="21"/>
        <v>2.4776618047692189E-4</v>
      </c>
      <c r="K95" s="2"/>
      <c r="L95" s="2">
        <f t="shared" si="22"/>
        <v>1.3800000000000008</v>
      </c>
      <c r="M95" s="2"/>
      <c r="N95" s="6">
        <f t="shared" si="23"/>
        <v>8.9204912734324543E-2</v>
      </c>
      <c r="O95" s="14"/>
      <c r="P95" s="2">
        <f>SUM(OSRRefP22_9x_0)</f>
        <v>5895.85</v>
      </c>
      <c r="Q95" s="2"/>
      <c r="R95" s="6">
        <f t="shared" si="24"/>
        <v>3.483643020197992E-3</v>
      </c>
      <c r="S95" s="2"/>
      <c r="T95" s="2">
        <f>SUM(OSRRefT22_9x_0)</f>
        <v>182.85000000000002</v>
      </c>
      <c r="U95" s="2"/>
      <c r="V95" s="6">
        <f t="shared" si="25"/>
        <v>9.7986496726589216E-5</v>
      </c>
      <c r="W95" s="2"/>
      <c r="X95" s="2">
        <f t="shared" si="26"/>
        <v>5713</v>
      </c>
      <c r="Y95" s="2"/>
      <c r="Z95" s="6">
        <f t="shared" si="27"/>
        <v>31.244189226141643</v>
      </c>
    </row>
    <row r="96" spans="1:26" s="69" customFormat="1" ht="15" hidden="1" customHeight="1" outlineLevel="2" x14ac:dyDescent="0.3">
      <c r="A96" s="26"/>
      <c r="B96" s="12" t="str">
        <f>CONCATENATE("          ","6371"," - ","COMPUTER SOFTWARE MAINTENANCE")</f>
        <v xml:space="preserve">          6371 - COMPUTER SOFTWARE MAINTENANCE</v>
      </c>
      <c r="C96" s="12"/>
      <c r="D96" s="8"/>
      <c r="E96" s="3"/>
      <c r="F96" s="7">
        <f t="shared" si="20"/>
        <v>0</v>
      </c>
      <c r="G96" s="3"/>
      <c r="H96" s="8"/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>
        <v>5775</v>
      </c>
      <c r="Q96" s="3"/>
      <c r="R96" s="7">
        <f t="shared" si="24"/>
        <v>3.4122371569228192E-3</v>
      </c>
      <c r="S96" s="3"/>
      <c r="T96" s="8"/>
      <c r="U96" s="3"/>
      <c r="V96" s="7">
        <f t="shared" si="25"/>
        <v>0</v>
      </c>
      <c r="W96" s="3"/>
      <c r="X96" s="8">
        <f t="shared" si="26"/>
        <v>5775</v>
      </c>
      <c r="Y96" s="3"/>
      <c r="Z96" s="7">
        <f t="shared" si="27"/>
        <v>0</v>
      </c>
    </row>
    <row r="97" spans="1:26" s="69" customFormat="1" ht="15" hidden="1" customHeight="1" outlineLevel="2" x14ac:dyDescent="0.3">
      <c r="A97" s="26"/>
      <c r="B97" s="12" t="str">
        <f>CONCATENATE("          ","6373"," - ","MAINTENANCE CONTRACTS")</f>
        <v xml:space="preserve">          6373 - MAINTENANCE CONTRACTS</v>
      </c>
      <c r="C97" s="12"/>
      <c r="D97" s="8">
        <v>16.850000000000001</v>
      </c>
      <c r="E97" s="3"/>
      <c r="F97" s="7">
        <f t="shared" si="20"/>
        <v>1.1707964048976673E-4</v>
      </c>
      <c r="G97" s="3"/>
      <c r="H97" s="8">
        <v>15.47</v>
      </c>
      <c r="I97" s="3"/>
      <c r="J97" s="7">
        <f t="shared" si="21"/>
        <v>2.4776618047692189E-4</v>
      </c>
      <c r="K97" s="3"/>
      <c r="L97" s="8">
        <f t="shared" si="22"/>
        <v>1.3800000000000008</v>
      </c>
      <c r="M97" s="3"/>
      <c r="N97" s="7">
        <f t="shared" si="23"/>
        <v>8.9204912734324543E-2</v>
      </c>
      <c r="O97" s="12"/>
      <c r="P97" s="8">
        <v>120.85</v>
      </c>
      <c r="Q97" s="3"/>
      <c r="R97" s="7">
        <f t="shared" si="24"/>
        <v>7.1405863275172753E-5</v>
      </c>
      <c r="S97" s="3"/>
      <c r="T97" s="8">
        <v>157.74</v>
      </c>
      <c r="U97" s="3"/>
      <c r="V97" s="7">
        <f t="shared" si="25"/>
        <v>8.4530434747892707E-5</v>
      </c>
      <c r="W97" s="3"/>
      <c r="X97" s="8">
        <f t="shared" si="26"/>
        <v>-36.890000000000015</v>
      </c>
      <c r="Y97" s="3"/>
      <c r="Z97" s="7">
        <f t="shared" si="27"/>
        <v>-0.23386585520476741</v>
      </c>
    </row>
    <row r="98" spans="1:26" s="69" customFormat="1" ht="15" hidden="1" customHeight="1" outlineLevel="2" x14ac:dyDescent="0.3">
      <c r="A98" s="26"/>
      <c r="B98" s="12" t="str">
        <f>CONCATENATE("          ","6375"," - ","OUTSIDE REPAIRS &amp; MAINTENANCE")</f>
        <v xml:space="preserve">          6375 - OUTSIDE REPAIRS &amp; MAINTENANCE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/>
      <c r="Q98" s="3"/>
      <c r="R98" s="7">
        <f t="shared" si="24"/>
        <v>0</v>
      </c>
      <c r="S98" s="3"/>
      <c r="T98" s="8">
        <v>25.11</v>
      </c>
      <c r="U98" s="3"/>
      <c r="V98" s="7">
        <f t="shared" si="25"/>
        <v>1.3456061978696499E-5</v>
      </c>
      <c r="W98" s="3"/>
      <c r="X98" s="8">
        <f t="shared" si="26"/>
        <v>-25.11</v>
      </c>
      <c r="Y98" s="3"/>
      <c r="Z98" s="7">
        <f t="shared" si="27"/>
        <v>-1</v>
      </c>
    </row>
    <row r="99" spans="1:26" s="68" customFormat="1" ht="15" customHeight="1" outlineLevel="1" collapsed="1" x14ac:dyDescent="0.3">
      <c r="A99" s="25"/>
      <c r="B99" s="14" t="str">
        <f>CONCATENATE("     ","Subscriptions &amp; Dues                              ")</f>
        <v xml:space="preserve">     Subscriptions &amp; Dues                              </v>
      </c>
      <c r="C99" s="14"/>
      <c r="D99" s="2">
        <f>SUM(OSRRefD22_10x_0)</f>
        <v>131.72</v>
      </c>
      <c r="E99" s="2"/>
      <c r="F99" s="6">
        <f t="shared" si="20"/>
        <v>9.1523621633899537E-4</v>
      </c>
      <c r="G99" s="2"/>
      <c r="H99" s="2">
        <f>SUM(OSRRefH22_10x_0)</f>
        <v>181.41</v>
      </c>
      <c r="I99" s="2"/>
      <c r="J99" s="6">
        <f t="shared" si="21"/>
        <v>2.9054468519921391E-3</v>
      </c>
      <c r="K99" s="2"/>
      <c r="L99" s="2">
        <f t="shared" si="22"/>
        <v>-49.69</v>
      </c>
      <c r="M99" s="2"/>
      <c r="N99" s="6">
        <f t="shared" si="23"/>
        <v>-0.27390992778788381</v>
      </c>
      <c r="O99" s="14"/>
      <c r="P99" s="2">
        <f>SUM(OSRRefP22_10x_0)</f>
        <v>1945.45</v>
      </c>
      <c r="Q99" s="2"/>
      <c r="R99" s="6">
        <f t="shared" si="24"/>
        <v>1.1494955457896968E-3</v>
      </c>
      <c r="S99" s="2"/>
      <c r="T99" s="2">
        <f>SUM(OSRRefT22_10x_0)</f>
        <v>4093.84</v>
      </c>
      <c r="U99" s="2"/>
      <c r="V99" s="6">
        <f t="shared" si="25"/>
        <v>2.1938257575016677E-3</v>
      </c>
      <c r="W99" s="2"/>
      <c r="X99" s="2">
        <f t="shared" si="26"/>
        <v>-2148.3900000000003</v>
      </c>
      <c r="Y99" s="2"/>
      <c r="Z99" s="6">
        <f t="shared" si="27"/>
        <v>-0.52478601997146934</v>
      </c>
    </row>
    <row r="100" spans="1:26" s="69" customFormat="1" ht="15" hidden="1" customHeight="1" outlineLevel="2" x14ac:dyDescent="0.3">
      <c r="A100" s="26"/>
      <c r="B100" s="12" t="str">
        <f>CONCATENATE("          ","6258"," - ","MEMBERSHIP DUES")</f>
        <v xml:space="preserve">          6258 - MEMBERSHIP DUES</v>
      </c>
      <c r="C100" s="12"/>
      <c r="D100" s="8">
        <v>131.72</v>
      </c>
      <c r="E100" s="3"/>
      <c r="F100" s="7">
        <f t="shared" si="20"/>
        <v>9.1523621633899537E-4</v>
      </c>
      <c r="G100" s="3"/>
      <c r="H100" s="8">
        <v>181.41</v>
      </c>
      <c r="I100" s="3"/>
      <c r="J100" s="7">
        <f t="shared" si="21"/>
        <v>2.9054468519921391E-3</v>
      </c>
      <c r="K100" s="3"/>
      <c r="L100" s="8">
        <f t="shared" si="22"/>
        <v>-49.69</v>
      </c>
      <c r="M100" s="3"/>
      <c r="N100" s="7">
        <f t="shared" si="23"/>
        <v>-0.27390992778788381</v>
      </c>
      <c r="O100" s="12"/>
      <c r="P100" s="8">
        <v>1945.45</v>
      </c>
      <c r="Q100" s="3"/>
      <c r="R100" s="7">
        <f t="shared" si="24"/>
        <v>1.1494955457896968E-3</v>
      </c>
      <c r="S100" s="3"/>
      <c r="T100" s="8">
        <v>2241.7600000000002</v>
      </c>
      <c r="U100" s="3"/>
      <c r="V100" s="7">
        <f t="shared" si="25"/>
        <v>1.2013246316751362E-3</v>
      </c>
      <c r="W100" s="3"/>
      <c r="X100" s="8">
        <f t="shared" si="26"/>
        <v>-296.31000000000017</v>
      </c>
      <c r="Y100" s="3"/>
      <c r="Z100" s="7">
        <f t="shared" si="27"/>
        <v>-0.13217739633145392</v>
      </c>
    </row>
    <row r="101" spans="1:26" s="69" customFormat="1" ht="15" hidden="1" customHeight="1" outlineLevel="2" x14ac:dyDescent="0.3">
      <c r="A101" s="26"/>
      <c r="B101" s="12" t="str">
        <f>CONCATENATE("          ","6275"," - ","SUBSCRIPTIONS")</f>
        <v xml:space="preserve">          6275 - SUBSCRIPTIONS</v>
      </c>
      <c r="C101" s="12"/>
      <c r="D101" s="8"/>
      <c r="E101" s="3"/>
      <c r="F101" s="7">
        <f t="shared" si="20"/>
        <v>0</v>
      </c>
      <c r="G101" s="3"/>
      <c r="H101" s="8"/>
      <c r="I101" s="3"/>
      <c r="J101" s="7">
        <f t="shared" si="21"/>
        <v>0</v>
      </c>
      <c r="K101" s="3"/>
      <c r="L101" s="8">
        <f t="shared" si="22"/>
        <v>0</v>
      </c>
      <c r="M101" s="3"/>
      <c r="N101" s="7">
        <f t="shared" si="23"/>
        <v>0</v>
      </c>
      <c r="O101" s="12"/>
      <c r="P101" s="8"/>
      <c r="Q101" s="3"/>
      <c r="R101" s="7">
        <f t="shared" si="24"/>
        <v>0</v>
      </c>
      <c r="S101" s="3"/>
      <c r="T101" s="8">
        <v>1852.08</v>
      </c>
      <c r="U101" s="3"/>
      <c r="V101" s="7">
        <f t="shared" si="25"/>
        <v>9.9250112582653172E-4</v>
      </c>
      <c r="W101" s="3"/>
      <c r="X101" s="8">
        <f t="shared" si="26"/>
        <v>-1852.08</v>
      </c>
      <c r="Y101" s="3"/>
      <c r="Z101" s="7">
        <f t="shared" si="27"/>
        <v>-1</v>
      </c>
    </row>
    <row r="102" spans="1:26" s="68" customFormat="1" ht="15" customHeight="1" outlineLevel="1" collapsed="1" x14ac:dyDescent="0.3">
      <c r="A102" s="25"/>
      <c r="B102" s="14" t="str">
        <f>CONCATENATE("     ","Supplies                                          ")</f>
        <v xml:space="preserve">     Supplies                                          </v>
      </c>
      <c r="C102" s="14"/>
      <c r="D102" s="2">
        <f>SUM(OSRRefD22_11x_0)</f>
        <v>77.47999999999999</v>
      </c>
      <c r="E102" s="2"/>
      <c r="F102" s="6">
        <f t="shared" si="20"/>
        <v>5.3835789585442867E-4</v>
      </c>
      <c r="G102" s="2"/>
      <c r="H102" s="2">
        <f>SUM(OSRRefH22_11x_0)</f>
        <v>583.6</v>
      </c>
      <c r="I102" s="2"/>
      <c r="J102" s="6">
        <f t="shared" si="21"/>
        <v>9.3468870669897609E-3</v>
      </c>
      <c r="K102" s="2"/>
      <c r="L102" s="2">
        <f t="shared" si="22"/>
        <v>-506.12</v>
      </c>
      <c r="M102" s="2"/>
      <c r="N102" s="6">
        <f t="shared" si="23"/>
        <v>-0.86723783413296773</v>
      </c>
      <c r="O102" s="14"/>
      <c r="P102" s="2">
        <f>SUM(OSRRefP22_11x_0)</f>
        <v>1198.25</v>
      </c>
      <c r="Q102" s="2"/>
      <c r="R102" s="6">
        <f t="shared" si="24"/>
        <v>7.0800228108792518E-4</v>
      </c>
      <c r="S102" s="2"/>
      <c r="T102" s="2">
        <f>SUM(OSRRefT22_11x_0)</f>
        <v>4835.5</v>
      </c>
      <c r="U102" s="2"/>
      <c r="V102" s="6">
        <f t="shared" si="25"/>
        <v>2.5912699202702877E-3</v>
      </c>
      <c r="W102" s="2"/>
      <c r="X102" s="2">
        <f t="shared" si="26"/>
        <v>-3637.25</v>
      </c>
      <c r="Y102" s="2"/>
      <c r="Z102" s="6">
        <f t="shared" si="27"/>
        <v>-0.75219729086961018</v>
      </c>
    </row>
    <row r="103" spans="1:26" s="69" customFormat="1" ht="15" hidden="1" customHeight="1" outlineLevel="2" x14ac:dyDescent="0.3">
      <c r="A103" s="26"/>
      <c r="B103" s="12" t="str">
        <f>CONCATENATE("          ","6241"," - ","OFFICE EXPENSE")</f>
        <v xml:space="preserve">          6241 - OFFICE EXPENSE</v>
      </c>
      <c r="C103" s="12"/>
      <c r="D103" s="8">
        <v>70.989999999999995</v>
      </c>
      <c r="E103" s="3"/>
      <c r="F103" s="7">
        <f t="shared" si="20"/>
        <v>4.9326312631267286E-4</v>
      </c>
      <c r="G103" s="3"/>
      <c r="H103" s="8">
        <v>45</v>
      </c>
      <c r="I103" s="3"/>
      <c r="J103" s="7">
        <f t="shared" si="21"/>
        <v>7.2071610352045787E-4</v>
      </c>
      <c r="K103" s="3"/>
      <c r="L103" s="8">
        <f t="shared" si="22"/>
        <v>25.989999999999995</v>
      </c>
      <c r="M103" s="3"/>
      <c r="N103" s="7">
        <f t="shared" si="23"/>
        <v>0.57755555555555549</v>
      </c>
      <c r="O103" s="12"/>
      <c r="P103" s="8">
        <v>1191.76</v>
      </c>
      <c r="Q103" s="3"/>
      <c r="R103" s="7">
        <f t="shared" si="24"/>
        <v>7.0416757647347855E-4</v>
      </c>
      <c r="S103" s="3"/>
      <c r="T103" s="8">
        <v>1254.5999999999999</v>
      </c>
      <c r="U103" s="3"/>
      <c r="V103" s="7">
        <f t="shared" si="25"/>
        <v>6.7232080280655627E-4</v>
      </c>
      <c r="W103" s="3"/>
      <c r="X103" s="8">
        <f t="shared" si="26"/>
        <v>-62.839999999999918</v>
      </c>
      <c r="Y103" s="3"/>
      <c r="Z103" s="7">
        <f t="shared" si="27"/>
        <v>-5.008767734736165E-2</v>
      </c>
    </row>
    <row r="104" spans="1:26" s="69" customFormat="1" ht="15" hidden="1" customHeight="1" outlineLevel="2" x14ac:dyDescent="0.3">
      <c r="A104" s="26"/>
      <c r="B104" s="12" t="str">
        <f>CONCATENATE("          ","6247"," - ","STORE SUPPLIES")</f>
        <v xml:space="preserve">          6247 - STORE SUPPLIES</v>
      </c>
      <c r="C104" s="12"/>
      <c r="D104" s="8">
        <v>6.49</v>
      </c>
      <c r="E104" s="3"/>
      <c r="F104" s="7">
        <f t="shared" si="20"/>
        <v>4.5094769541755845E-5</v>
      </c>
      <c r="G104" s="3"/>
      <c r="H104" s="8">
        <v>538.6</v>
      </c>
      <c r="I104" s="3"/>
      <c r="J104" s="7">
        <f t="shared" si="21"/>
        <v>8.6261709634693033E-3</v>
      </c>
      <c r="K104" s="3"/>
      <c r="L104" s="8">
        <f t="shared" si="22"/>
        <v>-532.11</v>
      </c>
      <c r="M104" s="3"/>
      <c r="N104" s="7">
        <f t="shared" si="23"/>
        <v>-0.98795024136650578</v>
      </c>
      <c r="O104" s="12"/>
      <c r="P104" s="8">
        <v>6.49</v>
      </c>
      <c r="Q104" s="3"/>
      <c r="R104" s="7">
        <f t="shared" si="24"/>
        <v>3.8347046144465963E-6</v>
      </c>
      <c r="S104" s="3"/>
      <c r="T104" s="8">
        <v>3580.9</v>
      </c>
      <c r="U104" s="3"/>
      <c r="V104" s="7">
        <f t="shared" si="25"/>
        <v>1.9189491174637315E-3</v>
      </c>
      <c r="W104" s="3"/>
      <c r="X104" s="8">
        <f t="shared" si="26"/>
        <v>-3574.4100000000003</v>
      </c>
      <c r="Y104" s="3"/>
      <c r="Z104" s="7">
        <f t="shared" si="27"/>
        <v>-0.99818760646764781</v>
      </c>
    </row>
    <row r="105" spans="1:26" s="68" customFormat="1" ht="15" customHeight="1" outlineLevel="1" collapsed="1" x14ac:dyDescent="0.3">
      <c r="A105" s="25"/>
      <c r="B105" s="14" t="str">
        <f>CONCATENATE("     ","Telephone/Data Lines                              ")</f>
        <v xml:space="preserve">     Telephone/Data Lines                              </v>
      </c>
      <c r="C105" s="14"/>
      <c r="D105" s="2">
        <f>SUM(OSRRefD22_12x_0)</f>
        <v>386.05</v>
      </c>
      <c r="E105" s="2"/>
      <c r="F105" s="6">
        <f t="shared" si="20"/>
        <v>2.6824092113397293E-3</v>
      </c>
      <c r="G105" s="2"/>
      <c r="H105" s="2">
        <f>SUM(OSRRefH22_12x_0)</f>
        <v>505.85</v>
      </c>
      <c r="I105" s="2"/>
      <c r="J105" s="6">
        <f t="shared" si="21"/>
        <v>8.1016497992405252E-3</v>
      </c>
      <c r="K105" s="2"/>
      <c r="L105" s="2">
        <f t="shared" si="22"/>
        <v>-119.80000000000001</v>
      </c>
      <c r="M105" s="2"/>
      <c r="N105" s="6">
        <f t="shared" si="23"/>
        <v>-0.23682909953543541</v>
      </c>
      <c r="O105" s="14"/>
      <c r="P105" s="2">
        <f>SUM(OSRRefP22_12x_0)</f>
        <v>4476.55</v>
      </c>
      <c r="Q105" s="2"/>
      <c r="R105" s="6">
        <f t="shared" si="24"/>
        <v>2.6450303454238697E-3</v>
      </c>
      <c r="S105" s="2"/>
      <c r="T105" s="2">
        <f>SUM(OSRRefT22_12x_0)</f>
        <v>6763.55</v>
      </c>
      <c r="U105" s="2"/>
      <c r="V105" s="6">
        <f t="shared" si="25"/>
        <v>3.6244821981685667E-3</v>
      </c>
      <c r="W105" s="2"/>
      <c r="X105" s="2">
        <f t="shared" si="26"/>
        <v>-2287</v>
      </c>
      <c r="Y105" s="2"/>
      <c r="Z105" s="6">
        <f t="shared" si="27"/>
        <v>-0.3381360380273673</v>
      </c>
    </row>
    <row r="106" spans="1:26" s="69" customFormat="1" ht="15" hidden="1" customHeight="1" outlineLevel="2" x14ac:dyDescent="0.3">
      <c r="A106" s="26"/>
      <c r="B106" s="12" t="str">
        <f>CONCATENATE("          ","6303"," - ","DATA PHONE LINES")</f>
        <v xml:space="preserve">          6303 - DATA PHONE LINES</v>
      </c>
      <c r="C106" s="12"/>
      <c r="D106" s="8"/>
      <c r="E106" s="3"/>
      <c r="F106" s="7">
        <f t="shared" si="20"/>
        <v>0</v>
      </c>
      <c r="G106" s="3"/>
      <c r="H106" s="8">
        <v>590</v>
      </c>
      <c r="I106" s="3"/>
      <c r="J106" s="7">
        <f t="shared" si="21"/>
        <v>9.4493889128237814E-3</v>
      </c>
      <c r="K106" s="3"/>
      <c r="L106" s="8">
        <f t="shared" si="22"/>
        <v>-590</v>
      </c>
      <c r="M106" s="3"/>
      <c r="N106" s="7">
        <f t="shared" si="23"/>
        <v>-1</v>
      </c>
      <c r="O106" s="12"/>
      <c r="P106" s="8">
        <v>295</v>
      </c>
      <c r="Q106" s="3"/>
      <c r="R106" s="7">
        <f t="shared" si="24"/>
        <v>1.7430475520211804E-4</v>
      </c>
      <c r="S106" s="3"/>
      <c r="T106" s="8">
        <v>2950</v>
      </c>
      <c r="U106" s="3"/>
      <c r="V106" s="7">
        <f t="shared" si="25"/>
        <v>1.5808595315473786E-3</v>
      </c>
      <c r="W106" s="3"/>
      <c r="X106" s="8">
        <f t="shared" si="26"/>
        <v>-2655</v>
      </c>
      <c r="Y106" s="3"/>
      <c r="Z106" s="7">
        <f t="shared" si="27"/>
        <v>-0.9</v>
      </c>
    </row>
    <row r="107" spans="1:26" s="69" customFormat="1" ht="15" hidden="1" customHeight="1" outlineLevel="2" x14ac:dyDescent="0.3">
      <c r="A107" s="26"/>
      <c r="B107" s="12" t="str">
        <f>CONCATENATE("          ","6309"," - ","TELEPHONE")</f>
        <v xml:space="preserve">          6309 - TELEPHONE</v>
      </c>
      <c r="C107" s="12"/>
      <c r="D107" s="8">
        <v>386.05</v>
      </c>
      <c r="E107" s="3"/>
      <c r="F107" s="7">
        <f t="shared" si="20"/>
        <v>2.6824092113397293E-3</v>
      </c>
      <c r="G107" s="3"/>
      <c r="H107" s="8">
        <v>-84.15</v>
      </c>
      <c r="I107" s="3"/>
      <c r="J107" s="7">
        <f t="shared" si="21"/>
        <v>-1.3477391135832564E-3</v>
      </c>
      <c r="K107" s="3"/>
      <c r="L107" s="8">
        <f t="shared" si="22"/>
        <v>470.20000000000005</v>
      </c>
      <c r="M107" s="3"/>
      <c r="N107" s="7">
        <f t="shared" si="23"/>
        <v>-5.5876411170528817</v>
      </c>
      <c r="O107" s="12"/>
      <c r="P107" s="8">
        <v>4181.55</v>
      </c>
      <c r="Q107" s="3"/>
      <c r="R107" s="7">
        <f t="shared" si="24"/>
        <v>2.4707255902217513E-3</v>
      </c>
      <c r="S107" s="3"/>
      <c r="T107" s="8">
        <v>3813.55</v>
      </c>
      <c r="U107" s="3"/>
      <c r="V107" s="7">
        <f t="shared" si="25"/>
        <v>2.0436226666211885E-3</v>
      </c>
      <c r="W107" s="3"/>
      <c r="X107" s="8">
        <f t="shared" si="26"/>
        <v>368</v>
      </c>
      <c r="Y107" s="3"/>
      <c r="Z107" s="7">
        <f t="shared" si="27"/>
        <v>9.6498013661811169E-2</v>
      </c>
    </row>
    <row r="108" spans="1:26" s="68" customFormat="1" ht="15" customHeight="1" outlineLevel="1" collapsed="1" x14ac:dyDescent="0.3">
      <c r="A108" s="25"/>
      <c r="B108" s="14" t="str">
        <f>CONCATENATE("     ","Travel                                            ")</f>
        <v xml:space="preserve">     Travel                                            </v>
      </c>
      <c r="C108" s="14"/>
      <c r="D108" s="2">
        <f>SUM(OSRRefD22_13x_0)</f>
        <v>0</v>
      </c>
      <c r="E108" s="2"/>
      <c r="F108" s="6">
        <f t="shared" si="20"/>
        <v>0</v>
      </c>
      <c r="G108" s="2"/>
      <c r="H108" s="2">
        <f>SUM(OSRRefH22_13x_0)</f>
        <v>0</v>
      </c>
      <c r="I108" s="2"/>
      <c r="J108" s="6">
        <f t="shared" si="21"/>
        <v>0</v>
      </c>
      <c r="K108" s="2"/>
      <c r="L108" s="2">
        <f t="shared" si="22"/>
        <v>0</v>
      </c>
      <c r="M108" s="2"/>
      <c r="N108" s="6">
        <f t="shared" si="23"/>
        <v>0</v>
      </c>
      <c r="O108" s="14"/>
      <c r="P108" s="2">
        <f>SUM(OSRRefP22_13x_0)</f>
        <v>0</v>
      </c>
      <c r="Q108" s="2"/>
      <c r="R108" s="6">
        <f t="shared" si="24"/>
        <v>0</v>
      </c>
      <c r="S108" s="2"/>
      <c r="T108" s="2">
        <f>SUM(OSRRefT22_13x_0)</f>
        <v>0.16</v>
      </c>
      <c r="U108" s="2"/>
      <c r="V108" s="6">
        <f t="shared" si="25"/>
        <v>8.5741533914434086E-8</v>
      </c>
      <c r="W108" s="2"/>
      <c r="X108" s="2">
        <f t="shared" si="26"/>
        <v>-0.16</v>
      </c>
      <c r="Y108" s="2"/>
      <c r="Z108" s="6">
        <f t="shared" si="27"/>
        <v>-1</v>
      </c>
    </row>
    <row r="109" spans="1:26" s="69" customFormat="1" ht="15" hidden="1" customHeight="1" outlineLevel="2" x14ac:dyDescent="0.3">
      <c r="A109" s="26"/>
      <c r="B109" s="12" t="str">
        <f>CONCATENATE("          ","6292"," - ","TRAVEL/CONFERENCE")</f>
        <v xml:space="preserve">          6292 - TRAVEL/CONFERENCE</v>
      </c>
      <c r="C109" s="12"/>
      <c r="D109" s="8"/>
      <c r="E109" s="3"/>
      <c r="F109" s="7">
        <f t="shared" si="20"/>
        <v>0</v>
      </c>
      <c r="G109" s="3"/>
      <c r="H109" s="8"/>
      <c r="I109" s="3"/>
      <c r="J109" s="7">
        <f t="shared" si="21"/>
        <v>0</v>
      </c>
      <c r="K109" s="3"/>
      <c r="L109" s="8">
        <f t="shared" si="22"/>
        <v>0</v>
      </c>
      <c r="M109" s="3"/>
      <c r="N109" s="7">
        <f t="shared" si="23"/>
        <v>0</v>
      </c>
      <c r="O109" s="12"/>
      <c r="P109" s="8"/>
      <c r="Q109" s="3"/>
      <c r="R109" s="7">
        <f t="shared" si="24"/>
        <v>0</v>
      </c>
      <c r="S109" s="3"/>
      <c r="T109" s="8">
        <v>0.16</v>
      </c>
      <c r="U109" s="3"/>
      <c r="V109" s="7">
        <f t="shared" si="25"/>
        <v>8.5741533914434086E-8</v>
      </c>
      <c r="W109" s="3"/>
      <c r="X109" s="8">
        <f t="shared" si="26"/>
        <v>-0.16</v>
      </c>
      <c r="Y109" s="3"/>
      <c r="Z109" s="7">
        <f t="shared" si="27"/>
        <v>-1</v>
      </c>
    </row>
    <row r="110" spans="1:26" s="64" customFormat="1" ht="15" customHeight="1" x14ac:dyDescent="0.3">
      <c r="A110" s="36"/>
      <c r="B110" s="36"/>
      <c r="C110" s="36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3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62" customFormat="1" ht="15" customHeight="1" collapsed="1" x14ac:dyDescent="0.3">
      <c r="A111" s="11"/>
      <c r="B111" s="27" t="s">
        <v>290</v>
      </c>
      <c r="C111" s="11"/>
      <c r="D111" s="5">
        <f>SUM(OSRRefD25x_0)</f>
        <v>155658.63</v>
      </c>
      <c r="E111" s="5"/>
      <c r="F111" s="13">
        <f>IF(D$12=0,0,D111/D$12)</f>
        <v>1.0815701151056152</v>
      </c>
      <c r="G111" s="5"/>
      <c r="H111" s="5">
        <f>SUM(OSRRefH25x_0)</f>
        <v>145116.21</v>
      </c>
      <c r="I111" s="5"/>
      <c r="J111" s="13">
        <f>IF(H$12=0,0,H111/H$12)</f>
        <v>2.3241686539745889</v>
      </c>
      <c r="K111" s="5"/>
      <c r="L111" s="5">
        <f>+D111-H111</f>
        <v>10542.420000000013</v>
      </c>
      <c r="M111" s="5"/>
      <c r="N111" s="13">
        <f>IF(H111=0,0,L111/H111)</f>
        <v>7.2648121116173123E-2</v>
      </c>
      <c r="O111" s="11"/>
      <c r="P111" s="5">
        <f>SUM(OSRRefP25x_0)</f>
        <v>349887.55000000005</v>
      </c>
      <c r="Q111" s="5"/>
      <c r="R111" s="13">
        <f>IF(P$12=0,0,P111/P$12)</f>
        <v>0.2067358093254876</v>
      </c>
      <c r="S111" s="5"/>
      <c r="T111" s="5">
        <f>SUM(OSRRefT25x_0)</f>
        <v>325937.90000000002</v>
      </c>
      <c r="U111" s="5"/>
      <c r="V111" s="13">
        <f>IF(T$12=0,0,T111/T$12)</f>
        <v>0.17466509691780893</v>
      </c>
      <c r="W111" s="5"/>
      <c r="X111" s="5">
        <f>+P111-T111</f>
        <v>23949.650000000023</v>
      </c>
      <c r="Y111" s="5"/>
      <c r="Z111" s="13">
        <f>IF(T111=0,0,X111/T111)</f>
        <v>7.3479181156901427E-2</v>
      </c>
    </row>
    <row r="112" spans="1:26" s="69" customFormat="1" ht="15" hidden="1" customHeight="1" outlineLevel="1" x14ac:dyDescent="0.3">
      <c r="A112" s="42"/>
      <c r="B112" s="12" t="str">
        <f>CONCATENATE("          ","9150"," - ","MISC. INCOME")</f>
        <v xml:space="preserve">          9150 - MISC. INCOME</v>
      </c>
      <c r="C112" s="12"/>
      <c r="D112" s="3">
        <f>--2944.95</f>
        <v>2944.95</v>
      </c>
      <c r="E112" s="3"/>
      <c r="F112" s="20">
        <f>IF(D$12=0,0,D112/D$12)</f>
        <v>2.0462533368566082E-2</v>
      </c>
      <c r="G112" s="3"/>
      <c r="H112" s="3">
        <f>-3618.29</f>
        <v>-3618.29</v>
      </c>
      <c r="I112" s="3"/>
      <c r="J112" s="20">
        <f>IF(H$12=0,0,H112/H$12)</f>
        <v>-5.7950219337934171E-2</v>
      </c>
      <c r="K112" s="3"/>
      <c r="L112" s="3">
        <f>+D112-H112</f>
        <v>6563.24</v>
      </c>
      <c r="M112" s="3"/>
      <c r="N112" s="20">
        <f>IF(H112=0,0,L112/H112)</f>
        <v>-1.8139065691251945</v>
      </c>
      <c r="O112" s="12"/>
      <c r="P112" s="3">
        <f>--22258.22</f>
        <v>22258.22</v>
      </c>
      <c r="Q112" s="3"/>
      <c r="R112" s="20">
        <f>IF(P$12=0,0,P112/P$12)</f>
        <v>1.3151571485880975E-2</v>
      </c>
      <c r="S112" s="3"/>
      <c r="T112" s="3">
        <f>--24713.75</f>
        <v>24713.75</v>
      </c>
      <c r="U112" s="3"/>
      <c r="V112" s="20">
        <f>IF(T$12=0,0,T112/T$12)</f>
        <v>1.3243717711111535E-2</v>
      </c>
      <c r="W112" s="3"/>
      <c r="X112" s="3">
        <f>+P112-T112</f>
        <v>-2455.5299999999988</v>
      </c>
      <c r="Y112" s="3"/>
      <c r="Z112" s="20">
        <f>IF(T112=0,0,X112/T112)</f>
        <v>-9.9358858934803451E-2</v>
      </c>
    </row>
    <row r="113" spans="1:26" s="69" customFormat="1" ht="15" hidden="1" customHeight="1" outlineLevel="1" x14ac:dyDescent="0.3">
      <c r="A113" s="42"/>
      <c r="B113" s="12" t="str">
        <f>CONCATENATE("          ","9151"," - ","MISC. INCOME")</f>
        <v xml:space="preserve">          9151 - MISC. INCOME</v>
      </c>
      <c r="C113" s="12"/>
      <c r="D113" s="3">
        <f>--152339.59</f>
        <v>152339.59</v>
      </c>
      <c r="E113" s="3"/>
      <c r="F113" s="20">
        <f>IF(D$12=0,0,D113/D$12)</f>
        <v>1.058508274751244</v>
      </c>
      <c r="G113" s="3"/>
      <c r="H113" s="3">
        <f>--148653.31</f>
        <v>148653.31</v>
      </c>
      <c r="I113" s="3"/>
      <c r="J113" s="20">
        <f>IF(H$12=0,0,H113/H$12)</f>
        <v>2.3808185413026384</v>
      </c>
      <c r="K113" s="3"/>
      <c r="L113" s="3">
        <f>+D113-H113</f>
        <v>3686.2799999999988</v>
      </c>
      <c r="M113" s="3"/>
      <c r="N113" s="20">
        <f>IF(H113=0,0,L113/H113)</f>
        <v>2.4797833294125767E-2</v>
      </c>
      <c r="O113" s="12"/>
      <c r="P113" s="3">
        <f>--323761.7</f>
        <v>323761.7</v>
      </c>
      <c r="Q113" s="3"/>
      <c r="R113" s="20">
        <f>IF(P$12=0,0,P113/P$12)</f>
        <v>0.19129899614346299</v>
      </c>
      <c r="S113" s="3"/>
      <c r="T113" s="3">
        <f>--297910.7</f>
        <v>297910.7</v>
      </c>
      <c r="U113" s="3"/>
      <c r="V113" s="20">
        <f>IF(T$12=0,0,T113/T$12)</f>
        <v>0.15964575242201751</v>
      </c>
      <c r="W113" s="3"/>
      <c r="X113" s="3">
        <f>+P113-T113</f>
        <v>25851</v>
      </c>
      <c r="Y113" s="3"/>
      <c r="Z113" s="20">
        <f>IF(T113=0,0,X113/T113)</f>
        <v>8.6774325326347795E-2</v>
      </c>
    </row>
    <row r="114" spans="1:26" s="69" customFormat="1" ht="15" hidden="1" customHeight="1" outlineLevel="1" x14ac:dyDescent="0.3">
      <c r="A114" s="42"/>
      <c r="B114" s="12" t="str">
        <f>CONCATENATE("          ","9152"," - ","MISC. INCOME")</f>
        <v xml:space="preserve">          9152 - MISC. INCOME</v>
      </c>
      <c r="C114" s="12"/>
      <c r="D114" s="3">
        <f>--374.09</f>
        <v>374.09</v>
      </c>
      <c r="E114" s="3"/>
      <c r="F114" s="20">
        <f>IF(D$12=0,0,D114/D$12)</f>
        <v>2.5993069858051528E-3</v>
      </c>
      <c r="G114" s="3"/>
      <c r="H114" s="3">
        <f>--81.19</f>
        <v>81.19</v>
      </c>
      <c r="I114" s="3"/>
      <c r="J114" s="20">
        <f>IF(H$12=0,0,H114/H$12)</f>
        <v>1.3003320098850216E-3</v>
      </c>
      <c r="K114" s="3"/>
      <c r="L114" s="3">
        <f>+D114-H114</f>
        <v>292.89999999999998</v>
      </c>
      <c r="M114" s="3"/>
      <c r="N114" s="20">
        <f>IF(H114=0,0,L114/H114)</f>
        <v>3.6075871412735556</v>
      </c>
      <c r="O114" s="12"/>
      <c r="P114" s="3">
        <f>--3867.63</f>
        <v>3867.63</v>
      </c>
      <c r="Q114" s="3"/>
      <c r="R114" s="20">
        <f>IF(P$12=0,0,P114/P$12)</f>
        <v>2.2852416961436197E-3</v>
      </c>
      <c r="S114" s="3"/>
      <c r="T114" s="3">
        <f>--3313.45</f>
        <v>3313.45</v>
      </c>
      <c r="U114" s="3"/>
      <c r="V114" s="20">
        <f>IF(T$12=0,0,T114/T$12)</f>
        <v>1.7756267846798851E-3</v>
      </c>
      <c r="W114" s="3"/>
      <c r="X114" s="3">
        <f>+P114-T114</f>
        <v>554.18000000000029</v>
      </c>
      <c r="Y114" s="3"/>
      <c r="Z114" s="20">
        <f>IF(T114=0,0,X114/T114)</f>
        <v>0.16725165612880843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2" customFormat="1" ht="15" customHeight="1" x14ac:dyDescent="0.3">
      <c r="A116" s="11"/>
      <c r="B116" s="28" t="s">
        <v>291</v>
      </c>
      <c r="C116" s="28"/>
      <c r="D116" s="23">
        <f>+D58-D60+D111</f>
        <v>173425.8</v>
      </c>
      <c r="E116" s="15"/>
      <c r="F116" s="22">
        <f>IF(D$12=0,0,D116/D$12)</f>
        <v>1.2050225706617319</v>
      </c>
      <c r="G116" s="15"/>
      <c r="H116" s="23">
        <f>+H58-H60+H111</f>
        <v>126327.46000000002</v>
      </c>
      <c r="I116" s="15"/>
      <c r="J116" s="22">
        <f>IF(H$12=0,0,H116/H$12)</f>
        <v>2.0232496608630339</v>
      </c>
      <c r="K116" s="17"/>
      <c r="L116" s="23">
        <f>+D116-H116</f>
        <v>47098.339999999967</v>
      </c>
      <c r="M116" s="17"/>
      <c r="N116" s="22">
        <f>IF(H116=0,0,L116/H116)</f>
        <v>0.372827412187342</v>
      </c>
      <c r="O116" s="27"/>
      <c r="P116" s="23">
        <f>+P58-P60+P111</f>
        <v>366022.91000000009</v>
      </c>
      <c r="Q116" s="15"/>
      <c r="R116" s="22">
        <f>IF(P$12=0,0,P116/P$12)</f>
        <v>0.21626960585056573</v>
      </c>
      <c r="S116" s="15"/>
      <c r="T116" s="23">
        <f>+T58-T60+T111</f>
        <v>508343.10999999958</v>
      </c>
      <c r="U116" s="15"/>
      <c r="V116" s="22">
        <f>IF(T$12=0,0,T116/T$12)</f>
        <v>0.27241323753896163</v>
      </c>
      <c r="W116" s="17"/>
      <c r="X116" s="23">
        <f>+P116-T116</f>
        <v>-142320.19999999949</v>
      </c>
      <c r="Y116" s="17"/>
      <c r="Z116" s="22">
        <f>IF(T116=0,0,X116/T116)</f>
        <v>-0.27996877935455761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48"/>
      <c r="B118" s="11" t="s">
        <v>292</v>
      </c>
      <c r="C118" s="11"/>
      <c r="D118" s="5">
        <v>6281.29</v>
      </c>
      <c r="E118" s="5"/>
      <c r="F118" s="13">
        <f>IF(D$12=0,0,D118/D$12)</f>
        <v>4.3644580119404558E-2</v>
      </c>
      <c r="G118" s="5"/>
      <c r="H118" s="5">
        <v>42141.72</v>
      </c>
      <c r="I118" s="5"/>
      <c r="J118" s="13">
        <f>IF(H$12=0,0,H118/H$12)</f>
        <v>0.67493813853444784</v>
      </c>
      <c r="K118" s="5"/>
      <c r="L118" s="5">
        <f>+D118-H118</f>
        <v>-35860.43</v>
      </c>
      <c r="M118" s="5"/>
      <c r="N118" s="13">
        <f>IF(H118=0,0,L118/H118)</f>
        <v>-0.85094841881157202</v>
      </c>
      <c r="O118" s="11"/>
      <c r="P118" s="5">
        <v>211254.69</v>
      </c>
      <c r="Q118" s="5"/>
      <c r="R118" s="13">
        <f>IF(P$12=0,0,P118/P$12)</f>
        <v>0.12482270178220113</v>
      </c>
      <c r="S118" s="5"/>
      <c r="T118" s="5">
        <v>369549.29</v>
      </c>
      <c r="U118" s="5"/>
      <c r="V118" s="13">
        <f>IF(T$12=0,0,T118/T$12)</f>
        <v>0.19803576863493771</v>
      </c>
      <c r="W118" s="5"/>
      <c r="X118" s="5">
        <f>+P118-T118</f>
        <v>-158294.59999999998</v>
      </c>
      <c r="Y118" s="5"/>
      <c r="Z118" s="13">
        <f>IF(T118=0,0,X118/T118)</f>
        <v>-0.42834502536860503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2" customFormat="1" ht="15" customHeight="1" x14ac:dyDescent="0.3">
      <c r="A120" s="11"/>
      <c r="B120" s="28" t="s">
        <v>293</v>
      </c>
      <c r="C120" s="28"/>
      <c r="D120" s="33">
        <f>+D116-D118</f>
        <v>167144.50999999998</v>
      </c>
      <c r="E120" s="15"/>
      <c r="F120" s="34">
        <f>IF(D$12=0,0,D120/D$12)</f>
        <v>1.1613779905423274</v>
      </c>
      <c r="G120" s="15"/>
      <c r="H120" s="33">
        <f>+H116-H118</f>
        <v>84185.74000000002</v>
      </c>
      <c r="I120" s="15"/>
      <c r="J120" s="34">
        <f>IF(H$12=0,0,H120/H$12)</f>
        <v>1.348311522328586</v>
      </c>
      <c r="K120" s="17"/>
      <c r="L120" s="33">
        <f>D120-H120</f>
        <v>82958.76999999996</v>
      </c>
      <c r="M120" s="17"/>
      <c r="N120" s="34">
        <f>IF(H120=0,0,L120/H120)</f>
        <v>0.98542544141086053</v>
      </c>
      <c r="O120" s="27"/>
      <c r="P120" s="33">
        <f>+P116-P118</f>
        <v>154768.22000000009</v>
      </c>
      <c r="Q120" s="15"/>
      <c r="R120" s="34">
        <f>IF(P$12=0,0,P120/P$12)</f>
        <v>9.1446904068364615E-2</v>
      </c>
      <c r="S120" s="15"/>
      <c r="T120" s="33">
        <f>+T116-T118</f>
        <v>138793.8199999996</v>
      </c>
      <c r="U120" s="15"/>
      <c r="V120" s="34">
        <f>IF(T$12=0,0,T120/T$12)</f>
        <v>7.4377468904023913E-2</v>
      </c>
      <c r="W120" s="17"/>
      <c r="X120" s="33">
        <f>P120-T120</f>
        <v>15974.400000000489</v>
      </c>
      <c r="Y120" s="17"/>
      <c r="Z120" s="34">
        <f>IF(T120=0,0,X120/T120)</f>
        <v>0.11509446169865874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8" t="s">
        <v>296</v>
      </c>
      <c r="C123" s="28"/>
      <c r="D123" s="35">
        <f>SUM(D120:D122)</f>
        <v>167144.50999999998</v>
      </c>
      <c r="E123" s="15"/>
      <c r="F123" s="29">
        <f>IF(D$12=0,0,D123/D$12)</f>
        <v>1.1613779905423274</v>
      </c>
      <c r="G123" s="15"/>
      <c r="H123" s="35">
        <f>SUM(H120:H122)</f>
        <v>84185.74000000002</v>
      </c>
      <c r="I123" s="15"/>
      <c r="J123" s="29">
        <f>IF(H$12=0,0,H123/H$12)</f>
        <v>1.348311522328586</v>
      </c>
      <c r="K123" s="17"/>
      <c r="L123" s="35">
        <f>+D123-H123</f>
        <v>82958.76999999996</v>
      </c>
      <c r="M123" s="17"/>
      <c r="N123" s="29">
        <f>IF(H123=0,0,L123/H123)</f>
        <v>0.98542544141086053</v>
      </c>
      <c r="O123" s="27"/>
      <c r="P123" s="35">
        <f>SUM(P120:P122)</f>
        <v>154768.22000000009</v>
      </c>
      <c r="Q123" s="15"/>
      <c r="R123" s="29">
        <f>IF(P$12=0,0,P123/P$12)</f>
        <v>9.1446904068364615E-2</v>
      </c>
      <c r="S123" s="15"/>
      <c r="T123" s="35">
        <f>SUM(T120:T122)</f>
        <v>138793.8199999996</v>
      </c>
      <c r="U123" s="15"/>
      <c r="V123" s="29">
        <f>IF(T$12=0,0,T123/T$12)</f>
        <v>7.4377468904023913E-2</v>
      </c>
      <c r="W123" s="17"/>
      <c r="X123" s="35">
        <f>+P123-T123</f>
        <v>15974.400000000489</v>
      </c>
      <c r="Y123" s="17"/>
      <c r="Z123" s="29">
        <f>IF(T123=0,0,X123/T123)</f>
        <v>0.11509446169865874</v>
      </c>
    </row>
    <row r="124" spans="1:26" ht="15" customHeight="1" x14ac:dyDescent="0.3">
      <c r="A124" s="10"/>
      <c r="C124" s="10"/>
      <c r="D124" s="18"/>
      <c r="E124" s="18"/>
      <c r="G124" s="18"/>
      <c r="H124" s="18"/>
      <c r="I124" s="18"/>
      <c r="J124" s="41"/>
      <c r="K124" s="18"/>
      <c r="L124" s="18"/>
      <c r="M124" s="18"/>
      <c r="P124" s="18"/>
      <c r="Q124" s="18"/>
      <c r="R124" s="41"/>
      <c r="S124" s="18"/>
      <c r="T124" s="18"/>
      <c r="U124" s="18"/>
      <c r="V124" s="41"/>
      <c r="W124" s="18"/>
      <c r="X124" s="18"/>
    </row>
    <row r="125" spans="1:26" ht="15" customHeight="1" x14ac:dyDescent="0.3">
      <c r="A125" s="10"/>
      <c r="B125" s="50">
        <v>44634.887810300927</v>
      </c>
      <c r="D125" s="18"/>
      <c r="E125" s="18"/>
      <c r="G125" s="18"/>
      <c r="H125" s="18"/>
      <c r="I125" s="18"/>
      <c r="J125" s="41"/>
      <c r="K125" s="18"/>
      <c r="L125" s="18"/>
      <c r="M125" s="18"/>
      <c r="P125" s="18"/>
      <c r="Q125" s="18"/>
      <c r="R125" s="41"/>
      <c r="S125" s="18"/>
      <c r="T125" s="18"/>
      <c r="U125" s="18"/>
      <c r="V125" s="41"/>
      <c r="W125" s="18"/>
      <c r="X125" s="18"/>
    </row>
    <row r="126" spans="1:26" ht="15" customHeight="1" x14ac:dyDescent="0.3">
      <c r="A126" s="10"/>
      <c r="B126" s="58" t="s">
        <v>297</v>
      </c>
      <c r="D126" s="18"/>
      <c r="E126" s="18"/>
      <c r="G126" s="18"/>
      <c r="H126" s="18"/>
      <c r="I126" s="18"/>
      <c r="J126" s="41"/>
      <c r="K126" s="18"/>
      <c r="L126" s="18"/>
      <c r="M126" s="18"/>
      <c r="P126" s="18"/>
      <c r="Q126" s="18"/>
      <c r="R126" s="41"/>
      <c r="S126" s="18"/>
      <c r="T126" s="18"/>
      <c r="U126" s="18"/>
      <c r="V126" s="41"/>
      <c r="W126" s="18"/>
      <c r="X126" s="18"/>
    </row>
    <row r="127" spans="1:26" ht="15" customHeight="1" x14ac:dyDescent="0.3">
      <c r="A127" s="10"/>
      <c r="B127" s="56"/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  <row r="128" spans="1:26" ht="15" customHeight="1" x14ac:dyDescent="0.3">
      <c r="D128" s="18"/>
      <c r="E128" s="18"/>
      <c r="G128" s="18"/>
      <c r="H128" s="18"/>
      <c r="I128" s="18"/>
      <c r="J128" s="41"/>
      <c r="K128" s="18"/>
      <c r="L128" s="18"/>
      <c r="M128" s="18"/>
      <c r="P128" s="18"/>
      <c r="Q128" s="18"/>
      <c r="R128" s="41"/>
      <c r="S128" s="18"/>
      <c r="T128" s="18"/>
      <c r="U128" s="18"/>
      <c r="V128" s="41"/>
      <c r="W128" s="18"/>
      <c r="X128" s="18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1C94-9094-D973-9F3C-E5F09F49A76F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","324"," - ","Textbook Rental")</f>
        <v>Department 324 - Textbook Rental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34592.76</v>
      </c>
      <c r="E12" s="5"/>
      <c r="F12" s="13"/>
      <c r="G12" s="5"/>
      <c r="H12" s="5">
        <f>SUM(OSRRefH13x_0)</f>
        <v>15645.23</v>
      </c>
      <c r="I12" s="5"/>
      <c r="J12" s="13"/>
      <c r="K12" s="5"/>
      <c r="L12" s="5">
        <f>+D12-H12</f>
        <v>18947.530000000002</v>
      </c>
      <c r="M12" s="5"/>
      <c r="N12" s="13">
        <f>IF(H12=0,0,L12/H12)</f>
        <v>1.2110739183763999</v>
      </c>
      <c r="O12" s="11"/>
      <c r="P12" s="5">
        <f>SUM(OSRRefP13x_0)</f>
        <v>436031.78</v>
      </c>
      <c r="Q12" s="5"/>
      <c r="R12" s="13"/>
      <c r="S12" s="5"/>
      <c r="T12" s="5">
        <f>SUM(OSRRefT13x_0)</f>
        <v>772917</v>
      </c>
      <c r="U12" s="5"/>
      <c r="V12" s="13"/>
      <c r="W12" s="5"/>
      <c r="X12" s="5">
        <f>+P12-T12</f>
        <v>-336885.22</v>
      </c>
      <c r="Y12" s="5"/>
      <c r="Z12" s="13">
        <f>IF(T12=0,0,X12/T12)</f>
        <v>-0.43586209127241343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--20216.59</f>
        <v>20216.59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20216.59</v>
      </c>
      <c r="M13" s="3"/>
      <c r="N13" s="20">
        <f>IF(H13=0,0,L13/H13)</f>
        <v>0</v>
      </c>
      <c r="O13" s="12"/>
      <c r="P13" s="3">
        <f>--269477.87</f>
        <v>269477.87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269477.87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--6211.31</f>
        <v>6211.31</v>
      </c>
      <c r="I14" s="3"/>
      <c r="J14" s="20"/>
      <c r="K14" s="3"/>
      <c r="L14" s="3">
        <f>+D14-H14</f>
        <v>-6211.31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--262705.93</f>
        <v>262705.93</v>
      </c>
      <c r="U14" s="3"/>
      <c r="V14" s="20"/>
      <c r="W14" s="3"/>
      <c r="X14" s="3">
        <f>+P14-T14</f>
        <v>-262705.93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--3816.22</f>
        <v>3816.22</v>
      </c>
      <c r="I15" s="3"/>
      <c r="J15" s="20"/>
      <c r="K15" s="3"/>
      <c r="L15" s="3">
        <f>+D15-H15</f>
        <v>-3816.22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f>--226037.51</f>
        <v>226037.51</v>
      </c>
      <c r="U15" s="3"/>
      <c r="V15" s="20"/>
      <c r="W15" s="3"/>
      <c r="X15" s="3">
        <f>+P15-T15</f>
        <v>-226037.51</v>
      </c>
      <c r="Y15" s="3"/>
      <c r="Z15" s="20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--14376.17</f>
        <v>14376.17</v>
      </c>
      <c r="E16" s="3"/>
      <c r="F16" s="20"/>
      <c r="G16" s="3"/>
      <c r="H16" s="3">
        <f>--5617.7</f>
        <v>5617.7</v>
      </c>
      <c r="I16" s="3"/>
      <c r="J16" s="20"/>
      <c r="K16" s="3"/>
      <c r="L16" s="3">
        <f>+D16-H16</f>
        <v>8758.4700000000012</v>
      </c>
      <c r="M16" s="3"/>
      <c r="N16" s="20">
        <f>IF(H16=0,0,L16/H16)</f>
        <v>1.5590846787831321</v>
      </c>
      <c r="O16" s="12"/>
      <c r="P16" s="3">
        <f>--166553.91</f>
        <v>166553.91</v>
      </c>
      <c r="Q16" s="3"/>
      <c r="R16" s="20"/>
      <c r="S16" s="3"/>
      <c r="T16" s="3">
        <f>--284173.56</f>
        <v>284173.56</v>
      </c>
      <c r="U16" s="3"/>
      <c r="V16" s="20"/>
      <c r="W16" s="3"/>
      <c r="X16" s="3">
        <f>+P16-T16</f>
        <v>-117619.65</v>
      </c>
      <c r="Y16" s="3"/>
      <c r="Z16" s="20">
        <f>IF(T16=0,0,X16/T16)</f>
        <v>-0.41390075135772658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34654.07</v>
      </c>
      <c r="E18" s="5"/>
      <c r="F18" s="13">
        <f>IF(D$12=0,0,D18/D$12)</f>
        <v>1.0017723361767028</v>
      </c>
      <c r="G18" s="5"/>
      <c r="H18" s="5">
        <f>SUM(OSRRefH16x_0)</f>
        <v>11974.380000000001</v>
      </c>
      <c r="I18" s="5"/>
      <c r="J18" s="13">
        <f>IF(H$12=0,0,H18/H$12)</f>
        <v>0.76536938095508988</v>
      </c>
      <c r="K18" s="5"/>
      <c r="L18" s="5">
        <f>+D18-H18</f>
        <v>22679.69</v>
      </c>
      <c r="M18" s="5"/>
      <c r="N18" s="13">
        <f>IF(H18=0,0,L18/H18)</f>
        <v>1.8940178948722186</v>
      </c>
      <c r="O18" s="11"/>
      <c r="P18" s="5">
        <f>SUM(OSRRefP16x_0)</f>
        <v>323105.84999999998</v>
      </c>
      <c r="Q18" s="5"/>
      <c r="R18" s="13">
        <f>IF(P$12=0,0,P18/P$12)</f>
        <v>0.74101445082741435</v>
      </c>
      <c r="S18" s="5"/>
      <c r="T18" s="5">
        <f>SUM(OSRRefT16x_0)</f>
        <v>542099.35000000009</v>
      </c>
      <c r="U18" s="5"/>
      <c r="V18" s="13">
        <f>IF(T$12=0,0,T18/T$12)</f>
        <v>0.70136812879002541</v>
      </c>
      <c r="W18" s="5"/>
      <c r="X18" s="5">
        <f>+P18-T18</f>
        <v>-218993.50000000012</v>
      </c>
      <c r="Y18" s="5"/>
      <c r="Z18" s="13">
        <f>IF(T18=0,0,X18/T18)</f>
        <v>-0.40397299867634978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34654.07</v>
      </c>
      <c r="E19" s="3"/>
      <c r="F19" s="20">
        <f>IF(D$12=0,0,D19/D$12)</f>
        <v>1.0017723361767028</v>
      </c>
      <c r="G19" s="3"/>
      <c r="H19" s="3"/>
      <c r="I19" s="3"/>
      <c r="J19" s="20">
        <f>IF(H$12=0,0,H19/H$12)</f>
        <v>0</v>
      </c>
      <c r="K19" s="3"/>
      <c r="L19" s="3">
        <f>+D19-H19</f>
        <v>34654.07</v>
      </c>
      <c r="M19" s="3"/>
      <c r="N19" s="20">
        <f>IF(H19=0,0,L19/H19)</f>
        <v>0</v>
      </c>
      <c r="O19" s="12"/>
      <c r="P19" s="3">
        <v>323105.84999999998</v>
      </c>
      <c r="Q19" s="3"/>
      <c r="R19" s="20">
        <f>IF(P$12=0,0,P19/P$12)</f>
        <v>0.74101445082741435</v>
      </c>
      <c r="S19" s="3"/>
      <c r="T19" s="3"/>
      <c r="U19" s="3"/>
      <c r="V19" s="20">
        <f>IF(T$12=0,0,T19/T$12)</f>
        <v>0</v>
      </c>
      <c r="W19" s="3"/>
      <c r="X19" s="3">
        <f>+P19-T19</f>
        <v>323105.84999999998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","5001"," - ","PURCHASES @ COST-NEW TEXT")</f>
        <v xml:space="preserve">          5001 - PURCHASES @ COST-NEW TEXT</v>
      </c>
      <c r="C20" s="12"/>
      <c r="D20" s="3"/>
      <c r="E20" s="3"/>
      <c r="F20" s="20">
        <f>IF(D$12=0,0,D20/D$12)</f>
        <v>0</v>
      </c>
      <c r="G20" s="3"/>
      <c r="H20" s="3">
        <v>7393.74</v>
      </c>
      <c r="I20" s="3"/>
      <c r="J20" s="20">
        <f>IF(H$12=0,0,H20/H$12)</f>
        <v>0.47258749152297536</v>
      </c>
      <c r="K20" s="3"/>
      <c r="L20" s="3">
        <f>+D20-H20</f>
        <v>-7393.74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300204.90000000002</v>
      </c>
      <c r="U20" s="3"/>
      <c r="V20" s="20">
        <f>IF(T$12=0,0,T20/T$12)</f>
        <v>0.38840509394928568</v>
      </c>
      <c r="W20" s="3"/>
      <c r="X20" s="3">
        <f>+P20-T20</f>
        <v>-300204.90000000002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","5002"," - ","PURCHASES @ COST-USED TEXT")</f>
        <v xml:space="preserve">          5002 - PURCHASES @ COST-USED TEXT</v>
      </c>
      <c r="C21" s="12"/>
      <c r="D21" s="3"/>
      <c r="E21" s="3"/>
      <c r="F21" s="20">
        <f>IF(D$12=0,0,D21/D$12)</f>
        <v>0</v>
      </c>
      <c r="G21" s="3"/>
      <c r="H21" s="3">
        <v>4580.6400000000003</v>
      </c>
      <c r="I21" s="3"/>
      <c r="J21" s="20">
        <f>IF(H$12=0,0,H21/H$12)</f>
        <v>0.29278188943211447</v>
      </c>
      <c r="K21" s="3"/>
      <c r="L21" s="3">
        <f>+D21-H21</f>
        <v>-4580.6400000000003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241894.45</v>
      </c>
      <c r="U21" s="3"/>
      <c r="V21" s="20">
        <f>IF(T$12=0,0,T21/T$12)</f>
        <v>0.31296303484073973</v>
      </c>
      <c r="W21" s="3"/>
      <c r="X21" s="3">
        <f>+P21-T21</f>
        <v>-241894.45</v>
      </c>
      <c r="Y21" s="3"/>
      <c r="Z21" s="20">
        <f>IF(T21=0,0,X21/T21)</f>
        <v>-1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3">
        <f>D12-D18</f>
        <v>-61.309999999997672</v>
      </c>
      <c r="E23" s="15"/>
      <c r="F23" s="22">
        <f>IF(D$12=0,0,D23/D$12)</f>
        <v>-1.7723361767028034E-3</v>
      </c>
      <c r="G23" s="15"/>
      <c r="H23" s="23">
        <f>H12-H18</f>
        <v>3670.8499999999985</v>
      </c>
      <c r="I23" s="15"/>
      <c r="J23" s="22">
        <f>IF(H$12=0,0,H23/H$12)</f>
        <v>0.23463061904491009</v>
      </c>
      <c r="K23" s="17"/>
      <c r="L23" s="23">
        <f>+D23-H23</f>
        <v>-3732.1599999999962</v>
      </c>
      <c r="M23" s="17"/>
      <c r="N23" s="22">
        <f>IF(H23=0,0,L23/H23)</f>
        <v>-1.0167018537940797</v>
      </c>
      <c r="O23" s="27"/>
      <c r="P23" s="23">
        <f>P12-P18</f>
        <v>112925.93000000005</v>
      </c>
      <c r="Q23" s="15"/>
      <c r="R23" s="22">
        <f>IF(P$12=0,0,P23/P$12)</f>
        <v>0.25898554917258565</v>
      </c>
      <c r="S23" s="15"/>
      <c r="T23" s="23">
        <f>T12-T18</f>
        <v>230817.64999999991</v>
      </c>
      <c r="U23" s="15"/>
      <c r="V23" s="22">
        <f>IF(T$12=0,0,T23/T$12)</f>
        <v>0.29863187120997459</v>
      </c>
      <c r="W23" s="17"/>
      <c r="X23" s="23">
        <f>+P23-T23</f>
        <v>-117891.71999999986</v>
      </c>
      <c r="Y23" s="17"/>
      <c r="Z23" s="22">
        <f>IF(T23=0,0,X23/T23)</f>
        <v>-0.51075695467829219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1">
        <f>SUM(0)</f>
        <v>0</v>
      </c>
      <c r="E25" s="21"/>
      <c r="F25" s="30">
        <f>IF(D$12=0,0,D25/D$12)</f>
        <v>0</v>
      </c>
      <c r="G25" s="21"/>
      <c r="H25" s="21">
        <f>SUM(0)</f>
        <v>0</v>
      </c>
      <c r="I25" s="21"/>
      <c r="J25" s="30">
        <f>IF(H$12=0,0,H25/H$12)</f>
        <v>0</v>
      </c>
      <c r="K25" s="5"/>
      <c r="L25" s="21">
        <f>+D25-H25</f>
        <v>0</v>
      </c>
      <c r="M25" s="5"/>
      <c r="N25" s="30">
        <f>IF(H25=0,0,L25/H25)</f>
        <v>0</v>
      </c>
      <c r="O25" s="11"/>
      <c r="P25" s="21">
        <f>SUM(0)</f>
        <v>0</v>
      </c>
      <c r="Q25" s="21"/>
      <c r="R25" s="30">
        <f>IF(P$12=0,0,P25/P$12)</f>
        <v>0</v>
      </c>
      <c r="S25" s="21"/>
      <c r="T25" s="21">
        <f>SUM(0)</f>
        <v>0</v>
      </c>
      <c r="U25" s="21"/>
      <c r="V25" s="30">
        <f>IF(T$12=0,0,T25/T$12)</f>
        <v>0</v>
      </c>
      <c r="W25" s="5"/>
      <c r="X25" s="21">
        <f>+P25-T25</f>
        <v>0</v>
      </c>
      <c r="Y25" s="5"/>
      <c r="Z25" s="30">
        <f>IF(T25=0,0,X25/T25)</f>
        <v>0</v>
      </c>
    </row>
    <row r="26" spans="1:26" s="64" customFormat="1" ht="15" customHeight="1" x14ac:dyDescent="0.3">
      <c r="A26" s="36"/>
      <c r="B26" s="36"/>
      <c r="C26" s="36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2" customFormat="1" ht="15" customHeight="1" x14ac:dyDescent="0.3">
      <c r="A27" s="11"/>
      <c r="B27" s="27" t="s">
        <v>290</v>
      </c>
      <c r="C27" s="11"/>
      <c r="D27" s="5">
        <f>SUM(0)</f>
        <v>0</v>
      </c>
      <c r="E27" s="5"/>
      <c r="F27" s="13">
        <f>IF(D$12=0,0,D27/D$12)</f>
        <v>0</v>
      </c>
      <c r="G27" s="5"/>
      <c r="H27" s="5">
        <f>SUM(0)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SUM(0)</f>
        <v>0</v>
      </c>
      <c r="Q27" s="5"/>
      <c r="R27" s="13">
        <f>IF(P$12=0,0,P27/P$12)</f>
        <v>0</v>
      </c>
      <c r="S27" s="5"/>
      <c r="T27" s="5">
        <f>SUM(0)</f>
        <v>0</v>
      </c>
      <c r="U27" s="5"/>
      <c r="V27" s="13">
        <f>IF(T$12=0,0,T27/T$12)</f>
        <v>0</v>
      </c>
      <c r="W27" s="5"/>
      <c r="X27" s="5">
        <f>+P27-T27</f>
        <v>0</v>
      </c>
      <c r="Y27" s="5"/>
      <c r="Z27" s="13">
        <f>IF(T27=0,0,X27/T27)</f>
        <v>0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11"/>
      <c r="B29" s="28" t="s">
        <v>291</v>
      </c>
      <c r="C29" s="28"/>
      <c r="D29" s="23">
        <f>+D23-D25+D27</f>
        <v>-61.309999999997672</v>
      </c>
      <c r="E29" s="15"/>
      <c r="F29" s="22">
        <f>IF(D$12=0,0,D29/D$12)</f>
        <v>-1.7723361767028034E-3</v>
      </c>
      <c r="G29" s="15"/>
      <c r="H29" s="23">
        <f>+H23-H25+H27</f>
        <v>3670.8499999999985</v>
      </c>
      <c r="I29" s="15"/>
      <c r="J29" s="22">
        <f>IF(H$12=0,0,H29/H$12)</f>
        <v>0.23463061904491009</v>
      </c>
      <c r="K29" s="17"/>
      <c r="L29" s="23">
        <f>+D29-H29</f>
        <v>-3732.1599999999962</v>
      </c>
      <c r="M29" s="17"/>
      <c r="N29" s="22">
        <f>IF(H29=0,0,L29/H29)</f>
        <v>-1.0167018537940797</v>
      </c>
      <c r="O29" s="27"/>
      <c r="P29" s="23">
        <f>+P23-P25+P27</f>
        <v>112925.93000000005</v>
      </c>
      <c r="Q29" s="15"/>
      <c r="R29" s="22">
        <f>IF(P$12=0,0,P29/P$12)</f>
        <v>0.25898554917258565</v>
      </c>
      <c r="S29" s="15"/>
      <c r="T29" s="23">
        <f>+T23-T25+T27</f>
        <v>230817.64999999991</v>
      </c>
      <c r="U29" s="15"/>
      <c r="V29" s="22">
        <f>IF(T$12=0,0,T29/T$12)</f>
        <v>0.29863187120997459</v>
      </c>
      <c r="W29" s="17"/>
      <c r="X29" s="23">
        <f>+P29-T29</f>
        <v>-117891.71999999986</v>
      </c>
      <c r="Y29" s="17"/>
      <c r="Z29" s="22">
        <f>IF(T29=0,0,X29/T29)</f>
        <v>-0.51075695467829219</v>
      </c>
    </row>
    <row r="30" spans="1:26" ht="15" customHeight="1" x14ac:dyDescent="0.3">
      <c r="A30" s="10"/>
      <c r="B30" s="11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48"/>
      <c r="B31" s="11" t="s">
        <v>292</v>
      </c>
      <c r="C31" s="11"/>
      <c r="D31" s="5">
        <v>1289.24</v>
      </c>
      <c r="E31" s="5"/>
      <c r="F31" s="13">
        <f>IF(D$12=0,0,D31/D$12)</f>
        <v>3.7269070175377735E-2</v>
      </c>
      <c r="G31" s="5"/>
      <c r="H31" s="5">
        <v>15600.35</v>
      </c>
      <c r="I31" s="5"/>
      <c r="J31" s="13">
        <f>IF(H$12=0,0,H31/H$12)</f>
        <v>0.99713139404150664</v>
      </c>
      <c r="K31" s="5"/>
      <c r="L31" s="5">
        <f>+D31-H31</f>
        <v>-14311.11</v>
      </c>
      <c r="M31" s="5"/>
      <c r="N31" s="13">
        <f>IF(H31=0,0,L31/H31)</f>
        <v>-0.91735826439791412</v>
      </c>
      <c r="O31" s="11"/>
      <c r="P31" s="5">
        <v>54426.67</v>
      </c>
      <c r="Q31" s="5"/>
      <c r="R31" s="13">
        <f>IF(P$12=0,0,P31/P$12)</f>
        <v>0.12482271361046206</v>
      </c>
      <c r="S31" s="5"/>
      <c r="T31" s="5">
        <v>153065.21</v>
      </c>
      <c r="U31" s="5"/>
      <c r="V31" s="13">
        <f>IF(T$12=0,0,T31/T$12)</f>
        <v>0.19803576580667781</v>
      </c>
      <c r="W31" s="5"/>
      <c r="X31" s="5">
        <f>+P31-T31</f>
        <v>-98638.54</v>
      </c>
      <c r="Y31" s="5"/>
      <c r="Z31" s="13">
        <f>IF(T31=0,0,X31/T31)</f>
        <v>-0.6444216814519772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8" t="s">
        <v>293</v>
      </c>
      <c r="C33" s="28"/>
      <c r="D33" s="33">
        <f>+D29-D31</f>
        <v>-1350.5499999999977</v>
      </c>
      <c r="E33" s="15"/>
      <c r="F33" s="34">
        <f>IF(D$12=0,0,D33/D$12)</f>
        <v>-3.9041406352080539E-2</v>
      </c>
      <c r="G33" s="15"/>
      <c r="H33" s="33">
        <f>+H29-H31</f>
        <v>-11929.500000000002</v>
      </c>
      <c r="I33" s="15"/>
      <c r="J33" s="34">
        <f>IF(H$12=0,0,H33/H$12)</f>
        <v>-0.76250077499659652</v>
      </c>
      <c r="K33" s="17"/>
      <c r="L33" s="33">
        <f>D33-H33</f>
        <v>10578.950000000004</v>
      </c>
      <c r="M33" s="17"/>
      <c r="N33" s="34">
        <f>IF(H33=0,0,L33/H33)</f>
        <v>-0.88678905234921857</v>
      </c>
      <c r="O33" s="27"/>
      <c r="P33" s="33">
        <f>+P29-P31</f>
        <v>58499.260000000053</v>
      </c>
      <c r="Q33" s="15"/>
      <c r="R33" s="34">
        <f>IF(P$12=0,0,P33/P$12)</f>
        <v>0.13416283556212358</v>
      </c>
      <c r="S33" s="15"/>
      <c r="T33" s="33">
        <f>+T29-T31</f>
        <v>77752.439999999915</v>
      </c>
      <c r="U33" s="15"/>
      <c r="V33" s="34">
        <f>IF(T$12=0,0,T33/T$12)</f>
        <v>0.10059610540329675</v>
      </c>
      <c r="W33" s="17"/>
      <c r="X33" s="33">
        <f>P33-T33</f>
        <v>-19253.179999999862</v>
      </c>
      <c r="Y33" s="17"/>
      <c r="Z33" s="34">
        <f>IF(T33=0,0,X33/T33)</f>
        <v>-0.2476215537415917</v>
      </c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>
        <f>SUM(D33:D35)</f>
        <v>-1350.5499999999977</v>
      </c>
      <c r="E36" s="15"/>
      <c r="F36" s="29">
        <f>IF(D$12=0,0,D36/D$12)</f>
        <v>-3.9041406352080539E-2</v>
      </c>
      <c r="G36" s="15"/>
      <c r="H36" s="35">
        <f>SUM(H33:H35)</f>
        <v>-11929.500000000002</v>
      </c>
      <c r="I36" s="15"/>
      <c r="J36" s="29">
        <f>IF(H$12=0,0,H36/H$12)</f>
        <v>-0.76250077499659652</v>
      </c>
      <c r="K36" s="17"/>
      <c r="L36" s="35">
        <f>+D36-H36</f>
        <v>10578.950000000004</v>
      </c>
      <c r="M36" s="17"/>
      <c r="N36" s="29">
        <f>IF(H36=0,0,L36/H36)</f>
        <v>-0.88678905234921857</v>
      </c>
      <c r="O36" s="27"/>
      <c r="P36" s="35">
        <f>SUM(P33:P35)</f>
        <v>58499.260000000053</v>
      </c>
      <c r="Q36" s="15"/>
      <c r="R36" s="29">
        <f>IF(P$12=0,0,P36/P$12)</f>
        <v>0.13416283556212358</v>
      </c>
      <c r="S36" s="15"/>
      <c r="T36" s="35">
        <f>SUM(T33:T35)</f>
        <v>77752.439999999915</v>
      </c>
      <c r="U36" s="15"/>
      <c r="V36" s="29">
        <f>IF(T$12=0,0,T36/T$12)</f>
        <v>0.10059610540329675</v>
      </c>
      <c r="W36" s="17"/>
      <c r="X36" s="35">
        <f>+P36-T36</f>
        <v>-19253.179999999862</v>
      </c>
      <c r="Y36" s="17"/>
      <c r="Z36" s="29">
        <f>IF(T36=0,0,X36/T36)</f>
        <v>-0.2476215537415917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>
        <v>44634.887810300927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s">
        <v>297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6638-8B13-BF52-002F-200620A6854C}">
  <sheetPr>
    <tabColor rgb="FFFFFF00"/>
    <outlinePr summaryBelow="0" summaryRight="0"/>
  </sheetPr>
  <dimension ref="A2:Z17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306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532190.98</v>
      </c>
      <c r="E12" s="5"/>
      <c r="F12" s="13"/>
      <c r="G12" s="5"/>
      <c r="H12" s="5">
        <f>SUM(OSRRefH13x_0)</f>
        <v>120315.20999999999</v>
      </c>
      <c r="I12" s="5"/>
      <c r="J12" s="13"/>
      <c r="K12" s="5"/>
      <c r="L12" s="5">
        <f t="shared" ref="L12:L54" si="0">+D12-H12</f>
        <v>411875.77</v>
      </c>
      <c r="M12" s="5"/>
      <c r="N12" s="13">
        <f t="shared" ref="N12:N54" si="1">IF(H12=0,0,L12/H12)</f>
        <v>3.4233059145223623</v>
      </c>
      <c r="O12" s="11"/>
      <c r="P12" s="5">
        <f>SUM(OSRRefP13x_0)</f>
        <v>2776740.3899999997</v>
      </c>
      <c r="Q12" s="5"/>
      <c r="R12" s="13"/>
      <c r="S12" s="5"/>
      <c r="T12" s="5">
        <f>SUM(OSRRefT13x_0)</f>
        <v>1311128.1399999999</v>
      </c>
      <c r="U12" s="5"/>
      <c r="V12" s="13"/>
      <c r="W12" s="5"/>
      <c r="X12" s="5">
        <f t="shared" ref="X12:X54" si="2">+P12-T12</f>
        <v>1465612.2499999998</v>
      </c>
      <c r="Y12" s="5"/>
      <c r="Z12" s="13">
        <f t="shared" ref="Z12:Z54" si="3">IF(T12=0,0,X12/T12)</f>
        <v>1.1178253332279178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--481902.97</f>
        <v>481902.97</v>
      </c>
      <c r="E13" s="3"/>
      <c r="F13" s="20"/>
      <c r="G13" s="3"/>
      <c r="H13" s="3">
        <f>-7056.82</f>
        <v>-7056.82</v>
      </c>
      <c r="I13" s="3"/>
      <c r="J13" s="20"/>
      <c r="K13" s="3"/>
      <c r="L13" s="3">
        <f t="shared" si="0"/>
        <v>488959.79</v>
      </c>
      <c r="M13" s="3"/>
      <c r="N13" s="20">
        <f t="shared" si="1"/>
        <v>-69.288970102680807</v>
      </c>
      <c r="O13" s="12"/>
      <c r="P13" s="3">
        <f>--2612781.26</f>
        <v>2612781.2599999998</v>
      </c>
      <c r="Q13" s="3"/>
      <c r="R13" s="20"/>
      <c r="S13" s="3"/>
      <c r="T13" s="3">
        <f>-99198.1</f>
        <v>-99198.1</v>
      </c>
      <c r="U13" s="3"/>
      <c r="V13" s="20"/>
      <c r="W13" s="3"/>
      <c r="X13" s="3">
        <f t="shared" si="2"/>
        <v>2711979.36</v>
      </c>
      <c r="Y13" s="3"/>
      <c r="Z13" s="20">
        <f t="shared" si="3"/>
        <v>-27.339025243427038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--41.38</f>
        <v>41.38</v>
      </c>
      <c r="I14" s="3"/>
      <c r="J14" s="20"/>
      <c r="K14" s="3"/>
      <c r="L14" s="3">
        <f t="shared" si="0"/>
        <v>-41.38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--430.87</f>
        <v>430.87</v>
      </c>
      <c r="U14" s="3"/>
      <c r="V14" s="20"/>
      <c r="W14" s="3"/>
      <c r="X14" s="3">
        <f t="shared" si="2"/>
        <v>-430.87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--5808.1</f>
        <v>5808.1</v>
      </c>
      <c r="I15" s="3"/>
      <c r="J15" s="20"/>
      <c r="K15" s="3"/>
      <c r="L15" s="3">
        <f t="shared" si="0"/>
        <v>-5808.1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--46494</f>
        <v>46494</v>
      </c>
      <c r="U15" s="3"/>
      <c r="V15" s="20"/>
      <c r="W15" s="3"/>
      <c r="X15" s="3">
        <f t="shared" si="2"/>
        <v>-46494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--1924.8</f>
        <v>1924.8</v>
      </c>
      <c r="I16" s="3"/>
      <c r="J16" s="20"/>
      <c r="K16" s="3"/>
      <c r="L16" s="3">
        <f t="shared" si="0"/>
        <v>-1924.8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--28397.57</f>
        <v>28397.57</v>
      </c>
      <c r="U16" s="3"/>
      <c r="V16" s="20"/>
      <c r="W16" s="3"/>
      <c r="X16" s="3">
        <f t="shared" si="2"/>
        <v>-28397.57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--593.6</f>
        <v>593.6</v>
      </c>
      <c r="I17" s="3"/>
      <c r="J17" s="20"/>
      <c r="K17" s="3"/>
      <c r="L17" s="3">
        <f t="shared" si="0"/>
        <v>-593.6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--2806.29</f>
        <v>2806.29</v>
      </c>
      <c r="U17" s="3"/>
      <c r="V17" s="20"/>
      <c r="W17" s="3"/>
      <c r="X17" s="3">
        <f t="shared" si="2"/>
        <v>-2806.29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--73245.08</f>
        <v>73245.08</v>
      </c>
      <c r="I19" s="3"/>
      <c r="J19" s="20"/>
      <c r="K19" s="3"/>
      <c r="L19" s="3">
        <f t="shared" si="0"/>
        <v>-73245.08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--671347.98</f>
        <v>671347.98</v>
      </c>
      <c r="U19" s="3"/>
      <c r="V19" s="20"/>
      <c r="W19" s="3"/>
      <c r="X19" s="3">
        <f t="shared" si="2"/>
        <v>-671347.98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--23539.79</f>
        <v>23539.79</v>
      </c>
      <c r="I20" s="3"/>
      <c r="J20" s="20"/>
      <c r="K20" s="3"/>
      <c r="L20" s="3">
        <f t="shared" si="0"/>
        <v>-23539.79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--184133.09</f>
        <v>184133.09</v>
      </c>
      <c r="U20" s="3"/>
      <c r="V20" s="20"/>
      <c r="W20" s="3"/>
      <c r="X20" s="3">
        <f t="shared" si="2"/>
        <v>-184133.09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--4190.99</f>
        <v>4190.99</v>
      </c>
      <c r="I21" s="3"/>
      <c r="J21" s="20"/>
      <c r="K21" s="3"/>
      <c r="L21" s="3">
        <f t="shared" si="0"/>
        <v>-4190.99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--63846.29</f>
        <v>63846.29</v>
      </c>
      <c r="U21" s="3"/>
      <c r="V21" s="20"/>
      <c r="W21" s="3"/>
      <c r="X21" s="3">
        <f t="shared" si="2"/>
        <v>-63846.29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--6192.38</f>
        <v>6192.38</v>
      </c>
      <c r="I22" s="3"/>
      <c r="J22" s="20"/>
      <c r="K22" s="3"/>
      <c r="L22" s="3">
        <f t="shared" si="0"/>
        <v>-6192.38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--124112.88</f>
        <v>124112.88</v>
      </c>
      <c r="U22" s="3"/>
      <c r="V22" s="20"/>
      <c r="W22" s="3"/>
      <c r="X22" s="3">
        <f t="shared" si="2"/>
        <v>-124112.88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--2036.78</f>
        <v>2036.78</v>
      </c>
      <c r="I23" s="3"/>
      <c r="J23" s="20"/>
      <c r="K23" s="3"/>
      <c r="L23" s="3">
        <f t="shared" si="0"/>
        <v>-2036.78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--29572.4</f>
        <v>29572.400000000001</v>
      </c>
      <c r="U23" s="3"/>
      <c r="V23" s="20"/>
      <c r="W23" s="3"/>
      <c r="X23" s="3">
        <f t="shared" si="2"/>
        <v>-29572.400000000001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--10039.9</f>
        <v>10039.9</v>
      </c>
      <c r="I24" s="3"/>
      <c r="J24" s="20"/>
      <c r="K24" s="3"/>
      <c r="L24" s="3">
        <f t="shared" si="0"/>
        <v>-10039.9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--135489.57</f>
        <v>135489.57</v>
      </c>
      <c r="U24" s="3"/>
      <c r="V24" s="20"/>
      <c r="W24" s="3"/>
      <c r="X24" s="3">
        <f t="shared" si="2"/>
        <v>-135489.57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--71960.99</f>
        <v>71960.990000000005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71960.990000000005</v>
      </c>
      <c r="M25" s="3"/>
      <c r="N25" s="20">
        <f t="shared" si="1"/>
        <v>0</v>
      </c>
      <c r="O25" s="12"/>
      <c r="P25" s="3">
        <f>--317640.3</f>
        <v>317640.3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317640.3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--472.19</f>
        <v>472.19</v>
      </c>
      <c r="I27" s="3"/>
      <c r="J27" s="20"/>
      <c r="K27" s="3"/>
      <c r="L27" s="3">
        <f t="shared" si="0"/>
        <v>-472.19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--6217.36</f>
        <v>6217.36</v>
      </c>
      <c r="U27" s="3"/>
      <c r="V27" s="20"/>
      <c r="W27" s="3"/>
      <c r="X27" s="3">
        <f t="shared" si="2"/>
        <v>-6217.36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--9.08</f>
        <v>9.08</v>
      </c>
      <c r="I28" s="3"/>
      <c r="J28" s="20"/>
      <c r="K28" s="3"/>
      <c r="L28" s="3">
        <f t="shared" si="0"/>
        <v>-9.08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--38.58</f>
        <v>38.58</v>
      </c>
      <c r="U28" s="3"/>
      <c r="V28" s="20"/>
      <c r="W28" s="3"/>
      <c r="X28" s="3">
        <f t="shared" si="2"/>
        <v>-38.58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--934.88</f>
        <v>934.88</v>
      </c>
      <c r="I29" s="3"/>
      <c r="J29" s="20"/>
      <c r="K29" s="3"/>
      <c r="L29" s="3">
        <f t="shared" si="0"/>
        <v>-934.88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--7727.99</f>
        <v>7727.99</v>
      </c>
      <c r="U29" s="3"/>
      <c r="V29" s="20"/>
      <c r="W29" s="3"/>
      <c r="X29" s="3">
        <f t="shared" si="2"/>
        <v>-7727.99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--68.25</f>
        <v>68.25</v>
      </c>
      <c r="U33" s="3"/>
      <c r="V33" s="20"/>
      <c r="W33" s="3"/>
      <c r="X33" s="3">
        <f t="shared" si="2"/>
        <v>-68.25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--1947.86</f>
        <v>1947.86</v>
      </c>
      <c r="I34" s="3"/>
      <c r="J34" s="20"/>
      <c r="K34" s="3"/>
      <c r="L34" s="3">
        <f t="shared" si="0"/>
        <v>-1947.86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--115125.28</f>
        <v>115125.28</v>
      </c>
      <c r="U34" s="3"/>
      <c r="V34" s="20"/>
      <c r="W34" s="3"/>
      <c r="X34" s="3">
        <f t="shared" si="2"/>
        <v>-115125.28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--620.86</f>
        <v>620.86</v>
      </c>
      <c r="I35" s="3"/>
      <c r="J35" s="20"/>
      <c r="K35" s="3"/>
      <c r="L35" s="3">
        <f t="shared" si="0"/>
        <v>-620.86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--7234.38</f>
        <v>7234.38</v>
      </c>
      <c r="U35" s="3"/>
      <c r="V35" s="20"/>
      <c r="W35" s="3"/>
      <c r="X35" s="3">
        <f t="shared" si="2"/>
        <v>-7234.38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--4.58</f>
        <v>4.58</v>
      </c>
      <c r="I36" s="3"/>
      <c r="J36" s="20"/>
      <c r="K36" s="3"/>
      <c r="L36" s="3">
        <f t="shared" si="0"/>
        <v>-4.58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--1153.88</f>
        <v>1153.8800000000001</v>
      </c>
      <c r="U36" s="3"/>
      <c r="V36" s="20"/>
      <c r="W36" s="3"/>
      <c r="X36" s="3">
        <f t="shared" si="2"/>
        <v>-1153.8800000000001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--149.92</f>
        <v>149.91999999999999</v>
      </c>
      <c r="I37" s="3"/>
      <c r="J37" s="20"/>
      <c r="K37" s="3"/>
      <c r="L37" s="3">
        <f t="shared" si="0"/>
        <v>-149.91999999999999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--2119.66</f>
        <v>2119.66</v>
      </c>
      <c r="U37" s="3"/>
      <c r="V37" s="20"/>
      <c r="W37" s="3"/>
      <c r="X37" s="3">
        <f t="shared" si="2"/>
        <v>-2119.66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--39.95</f>
        <v>39.950000000000003</v>
      </c>
      <c r="I38" s="3"/>
      <c r="J38" s="20"/>
      <c r="K38" s="3"/>
      <c r="L38" s="3">
        <f t="shared" si="0"/>
        <v>-39.950000000000003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--649.35</f>
        <v>649.35</v>
      </c>
      <c r="U38" s="3"/>
      <c r="V38" s="20"/>
      <c r="W38" s="3"/>
      <c r="X38" s="3">
        <f t="shared" si="2"/>
        <v>-649.35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--53716.09</f>
        <v>53716.09</v>
      </c>
      <c r="U39" s="3"/>
      <c r="V39" s="20"/>
      <c r="W39" s="3"/>
      <c r="X39" s="3">
        <f t="shared" si="2"/>
        <v>-53716.09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-13626.34</f>
        <v>-13626.34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-13626.34</v>
      </c>
      <c r="M40" s="3"/>
      <c r="N40" s="20">
        <f t="shared" si="1"/>
        <v>0</v>
      </c>
      <c r="O40" s="12"/>
      <c r="P40" s="3">
        <f>-78320.66</f>
        <v>-78320.66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-78320.66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-34.23</f>
        <v>-34.229999999999997</v>
      </c>
      <c r="U41" s="3"/>
      <c r="V41" s="20"/>
      <c r="W41" s="3"/>
      <c r="X41" s="3">
        <f t="shared" si="2"/>
        <v>34.229999999999997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-19.05</f>
        <v>-19.05</v>
      </c>
      <c r="I42" s="3"/>
      <c r="J42" s="20"/>
      <c r="K42" s="3"/>
      <c r="L42" s="3">
        <f t="shared" si="0"/>
        <v>19.05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-621.76</f>
        <v>-621.76</v>
      </c>
      <c r="U42" s="3"/>
      <c r="V42" s="20"/>
      <c r="W42" s="3"/>
      <c r="X42" s="3">
        <f t="shared" si="2"/>
        <v>621.76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-10.71</f>
        <v>-10.71</v>
      </c>
      <c r="I43" s="3"/>
      <c r="J43" s="20"/>
      <c r="K43" s="3"/>
      <c r="L43" s="3">
        <f t="shared" si="0"/>
        <v>10.71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-12517.04</f>
        <v>-12517.04</v>
      </c>
      <c r="U43" s="3"/>
      <c r="V43" s="20"/>
      <c r="W43" s="3"/>
      <c r="X43" s="3">
        <f t="shared" si="2"/>
        <v>12517.04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-3542.64</f>
        <v>-3542.64</v>
      </c>
      <c r="I44" s="3"/>
      <c r="J44" s="20"/>
      <c r="K44" s="3"/>
      <c r="L44" s="3">
        <f t="shared" si="0"/>
        <v>3542.64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-31129.51</f>
        <v>-31129.51</v>
      </c>
      <c r="U44" s="3"/>
      <c r="V44" s="20"/>
      <c r="W44" s="3"/>
      <c r="X44" s="3">
        <f t="shared" si="2"/>
        <v>31129.51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-338.05</f>
        <v>-338.05</v>
      </c>
      <c r="I45" s="3"/>
      <c r="J45" s="20"/>
      <c r="K45" s="3"/>
      <c r="L45" s="3">
        <f t="shared" si="0"/>
        <v>338.05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-4041.42</f>
        <v>-4041.42</v>
      </c>
      <c r="U45" s="3"/>
      <c r="V45" s="20"/>
      <c r="W45" s="3"/>
      <c r="X45" s="3">
        <f t="shared" si="2"/>
        <v>4041.42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-44.96</f>
        <v>-44.96</v>
      </c>
      <c r="I46" s="3"/>
      <c r="J46" s="20"/>
      <c r="K46" s="3"/>
      <c r="L46" s="3">
        <f t="shared" si="0"/>
        <v>44.96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-1738.74</f>
        <v>-1738.74</v>
      </c>
      <c r="U46" s="3"/>
      <c r="V46" s="20"/>
      <c r="W46" s="3"/>
      <c r="X46" s="3">
        <f t="shared" si="2"/>
        <v>1738.74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-369.81</f>
        <v>-369.81</v>
      </c>
      <c r="I47" s="3"/>
      <c r="J47" s="20"/>
      <c r="K47" s="3"/>
      <c r="L47" s="3">
        <f t="shared" si="0"/>
        <v>369.81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-5369.6</f>
        <v>-5369.6</v>
      </c>
      <c r="U47" s="3"/>
      <c r="V47" s="20"/>
      <c r="W47" s="3"/>
      <c r="X47" s="3">
        <f t="shared" si="2"/>
        <v>5369.6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-9.99</f>
        <v>-9.99</v>
      </c>
      <c r="I48" s="3"/>
      <c r="J48" s="20"/>
      <c r="K48" s="3"/>
      <c r="L48" s="3">
        <f t="shared" si="0"/>
        <v>9.99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-994.84</f>
        <v>-994.84</v>
      </c>
      <c r="U48" s="3"/>
      <c r="V48" s="20"/>
      <c r="W48" s="3"/>
      <c r="X48" s="3">
        <f t="shared" si="2"/>
        <v>994.84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-7.98</f>
        <v>-7.98</v>
      </c>
      <c r="I49" s="3"/>
      <c r="J49" s="20"/>
      <c r="K49" s="3"/>
      <c r="L49" s="3">
        <f t="shared" si="0"/>
        <v>7.98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-11353.59</f>
        <v>-11353.59</v>
      </c>
      <c r="U49" s="3"/>
      <c r="V49" s="20"/>
      <c r="W49" s="3"/>
      <c r="X49" s="3">
        <f t="shared" si="2"/>
        <v>11353.59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-245.74</f>
        <v>-245.74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-245.74</v>
      </c>
      <c r="M50" s="3"/>
      <c r="N50" s="20">
        <f t="shared" si="1"/>
        <v>0</v>
      </c>
      <c r="O50" s="12"/>
      <c r="P50" s="3">
        <f>-1898.53</f>
        <v>-1898.53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-1898.53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-76.9</f>
        <v>-76.900000000000006</v>
      </c>
      <c r="I51" s="3"/>
      <c r="J51" s="20"/>
      <c r="K51" s="3"/>
      <c r="L51" s="3">
        <f t="shared" si="0"/>
        <v>76.900000000000006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-2292.84</f>
        <v>-2292.84</v>
      </c>
      <c r="U51" s="3"/>
      <c r="V51" s="20"/>
      <c r="W51" s="3"/>
      <c r="X51" s="3">
        <f t="shared" si="2"/>
        <v>2292.84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0</v>
      </c>
      <c r="M52" s="3"/>
      <c r="N52" s="20">
        <f t="shared" si="1"/>
        <v>0</v>
      </c>
      <c r="O52" s="12"/>
      <c r="P52" s="3">
        <f>0</f>
        <v>0</v>
      </c>
      <c r="Q52" s="3"/>
      <c r="R52" s="20"/>
      <c r="S52" s="3"/>
      <c r="T52" s="3">
        <f>-351.44</f>
        <v>-351.44</v>
      </c>
      <c r="U52" s="3"/>
      <c r="V52" s="20"/>
      <c r="W52" s="3"/>
      <c r="X52" s="3">
        <f t="shared" si="2"/>
        <v>351.44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-7800.9</f>
        <v>-7800.9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-7800.9</v>
      </c>
      <c r="M54" s="3"/>
      <c r="N54" s="20">
        <f t="shared" si="1"/>
        <v>0</v>
      </c>
      <c r="O54" s="12"/>
      <c r="P54" s="3">
        <f>-73461.98</f>
        <v>-73461.98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-73461.98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7" t="s">
        <v>287</v>
      </c>
      <c r="C56" s="11"/>
      <c r="D56" s="5">
        <f>SUM(OSRRefD16x_0)</f>
        <v>240681.03</v>
      </c>
      <c r="E56" s="5"/>
      <c r="F56" s="13">
        <f t="shared" ref="F56:F82" si="4">IF(D$12=0,0,D56/D$12)</f>
        <v>0.45224560175747436</v>
      </c>
      <c r="G56" s="5"/>
      <c r="H56" s="5">
        <f>SUM(OSRRefH16x_0)</f>
        <v>62365.999999999993</v>
      </c>
      <c r="I56" s="5"/>
      <c r="J56" s="13">
        <f t="shared" ref="J56:J82" si="5">IF(H$12=0,0,H56/H$12)</f>
        <v>0.51835507746693044</v>
      </c>
      <c r="K56" s="5"/>
      <c r="L56" s="5">
        <f t="shared" ref="L56:L82" si="6">+D56-H56</f>
        <v>178315.03</v>
      </c>
      <c r="M56" s="5"/>
      <c r="N56" s="13">
        <f t="shared" ref="N56:N82" si="7">IF(H56=0,0,L56/H56)</f>
        <v>2.8591705416412792</v>
      </c>
      <c r="O56" s="11"/>
      <c r="P56" s="5">
        <f>SUM(OSRRefP16x_0)</f>
        <v>1340569.04</v>
      </c>
      <c r="Q56" s="5"/>
      <c r="R56" s="13">
        <f t="shared" ref="R56:R82" si="8">IF(P$12=0,0,P56/P$12)</f>
        <v>0.48278515515092868</v>
      </c>
      <c r="S56" s="5"/>
      <c r="T56" s="5">
        <f>SUM(OSRRefT16x_0)</f>
        <v>745276.54000000015</v>
      </c>
      <c r="U56" s="5"/>
      <c r="V56" s="13">
        <f t="shared" ref="V56:V82" si="9">IF(T$12=0,0,T56/T$12)</f>
        <v>0.56842387655565096</v>
      </c>
      <c r="W56" s="5"/>
      <c r="X56" s="5">
        <f t="shared" ref="X56:X82" si="10">+P56-T56</f>
        <v>595292.49999999988</v>
      </c>
      <c r="Y56" s="5"/>
      <c r="Z56" s="13">
        <f t="shared" ref="Z56:Z82" si="11">IF(T56=0,0,X56/T56)</f>
        <v>0.7987538424327697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205846.32</v>
      </c>
      <c r="E57" s="3"/>
      <c r="F57" s="20">
        <f t="shared" si="4"/>
        <v>0.38679032102347921</v>
      </c>
      <c r="G57" s="3"/>
      <c r="H57" s="3"/>
      <c r="I57" s="3"/>
      <c r="J57" s="20">
        <f t="shared" si="5"/>
        <v>0</v>
      </c>
      <c r="K57" s="3"/>
      <c r="L57" s="3">
        <f t="shared" si="6"/>
        <v>205846.32</v>
      </c>
      <c r="M57" s="3"/>
      <c r="N57" s="20">
        <f t="shared" si="7"/>
        <v>0</v>
      </c>
      <c r="O57" s="12"/>
      <c r="P57" s="3">
        <v>1421754.49</v>
      </c>
      <c r="Q57" s="3"/>
      <c r="R57" s="20">
        <f t="shared" si="8"/>
        <v>0.51202283624361444</v>
      </c>
      <c r="S57" s="3"/>
      <c r="T57" s="3"/>
      <c r="U57" s="3"/>
      <c r="V57" s="20">
        <f t="shared" si="9"/>
        <v>0</v>
      </c>
      <c r="W57" s="3"/>
      <c r="X57" s="3">
        <f t="shared" si="10"/>
        <v>1421754.49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4.5707965660778208E-4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10</v>
      </c>
      <c r="U59" s="3"/>
      <c r="V59" s="20">
        <f t="shared" si="9"/>
        <v>7.6270195833032772E-6</v>
      </c>
      <c r="W59" s="3"/>
      <c r="X59" s="3">
        <f t="shared" si="10"/>
        <v>-10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>
        <v>18175.88</v>
      </c>
      <c r="U60" s="3"/>
      <c r="V60" s="20">
        <f t="shared" si="9"/>
        <v>1.3862779270377037E-2</v>
      </c>
      <c r="W60" s="3"/>
      <c r="X60" s="3">
        <f t="shared" si="10"/>
        <v>-18175.88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833.13</v>
      </c>
      <c r="I61" s="3"/>
      <c r="J61" s="20">
        <f t="shared" si="5"/>
        <v>6.9245609096306284E-3</v>
      </c>
      <c r="K61" s="3"/>
      <c r="L61" s="3">
        <f t="shared" si="6"/>
        <v>-833.13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749.73</v>
      </c>
      <c r="U61" s="3"/>
      <c r="V61" s="20">
        <f t="shared" si="9"/>
        <v>5.7182053921899661E-4</v>
      </c>
      <c r="W61" s="3"/>
      <c r="X61" s="3">
        <f t="shared" si="10"/>
        <v>-749.73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>
        <v>271.45999999999998</v>
      </c>
      <c r="I62" s="3"/>
      <c r="J62" s="20">
        <f t="shared" si="5"/>
        <v>2.2562400880154721E-3</v>
      </c>
      <c r="K62" s="3"/>
      <c r="L62" s="3">
        <f t="shared" si="6"/>
        <v>-271.45999999999998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4.0759936706110207E-3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26599.9</v>
      </c>
      <c r="I63" s="3"/>
      <c r="J63" s="20">
        <f t="shared" si="5"/>
        <v>0.2210850980520252</v>
      </c>
      <c r="K63" s="3"/>
      <c r="L63" s="3">
        <f t="shared" si="6"/>
        <v>-26599.9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193971.09</v>
      </c>
      <c r="U63" s="3"/>
      <c r="V63" s="20">
        <f t="shared" si="9"/>
        <v>0.14794213020246824</v>
      </c>
      <c r="W63" s="3"/>
      <c r="X63" s="3">
        <f t="shared" si="10"/>
        <v>-193971.09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26592.81</v>
      </c>
      <c r="I64" s="3"/>
      <c r="J64" s="20">
        <f t="shared" si="5"/>
        <v>0.22102616950924162</v>
      </c>
      <c r="K64" s="3"/>
      <c r="L64" s="3">
        <f t="shared" si="6"/>
        <v>-26592.81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67563.81</v>
      </c>
      <c r="U64" s="3"/>
      <c r="V64" s="20">
        <f t="shared" si="9"/>
        <v>5.1531050199258174E-2</v>
      </c>
      <c r="W64" s="3"/>
      <c r="X64" s="3">
        <f t="shared" si="10"/>
        <v>-67563.81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>
        <v>1196.2</v>
      </c>
      <c r="I65" s="3"/>
      <c r="J65" s="20">
        <f t="shared" si="5"/>
        <v>9.9422176132178148E-3</v>
      </c>
      <c r="K65" s="3"/>
      <c r="L65" s="3">
        <f t="shared" si="6"/>
        <v>-1196.2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19018.18</v>
      </c>
      <c r="U65" s="3"/>
      <c r="V65" s="20">
        <f t="shared" si="9"/>
        <v>1.4505203129878672E-2</v>
      </c>
      <c r="W65" s="3"/>
      <c r="X65" s="3">
        <f t="shared" si="10"/>
        <v>-19018.18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/>
      <c r="I66" s="3"/>
      <c r="J66" s="20">
        <f t="shared" si="5"/>
        <v>0</v>
      </c>
      <c r="K66" s="3"/>
      <c r="L66" s="3">
        <f t="shared" si="6"/>
        <v>0</v>
      </c>
      <c r="M66" s="3"/>
      <c r="N66" s="20">
        <f t="shared" si="7"/>
        <v>0</v>
      </c>
      <c r="O66" s="12"/>
      <c r="P66" s="3">
        <v>0</v>
      </c>
      <c r="Q66" s="3"/>
      <c r="R66" s="20">
        <f t="shared" si="8"/>
        <v>0</v>
      </c>
      <c r="S66" s="3"/>
      <c r="T66" s="3">
        <v>55364.33</v>
      </c>
      <c r="U66" s="3"/>
      <c r="V66" s="20">
        <f t="shared" si="9"/>
        <v>4.2226482912646517E-2</v>
      </c>
      <c r="W66" s="3"/>
      <c r="X66" s="3">
        <f t="shared" si="10"/>
        <v>-55364.33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/>
      <c r="I67" s="3"/>
      <c r="J67" s="20">
        <f t="shared" si="5"/>
        <v>0</v>
      </c>
      <c r="K67" s="3"/>
      <c r="L67" s="3">
        <f t="shared" si="6"/>
        <v>0</v>
      </c>
      <c r="M67" s="3"/>
      <c r="N67" s="20">
        <f t="shared" si="7"/>
        <v>0</v>
      </c>
      <c r="O67" s="12"/>
      <c r="P67" s="3">
        <v>0</v>
      </c>
      <c r="Q67" s="3"/>
      <c r="R67" s="20">
        <f t="shared" si="8"/>
        <v>0</v>
      </c>
      <c r="S67" s="3"/>
      <c r="T67" s="3">
        <v>1064.83</v>
      </c>
      <c r="U67" s="3"/>
      <c r="V67" s="20">
        <f t="shared" si="9"/>
        <v>8.1214792628888277E-4</v>
      </c>
      <c r="W67" s="3"/>
      <c r="X67" s="3">
        <f t="shared" si="10"/>
        <v>-1064.83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1909.13</v>
      </c>
      <c r="I68" s="3"/>
      <c r="J68" s="20">
        <f t="shared" si="5"/>
        <v>1.5867736090889924E-2</v>
      </c>
      <c r="K68" s="3"/>
      <c r="L68" s="3">
        <f t="shared" si="6"/>
        <v>-1909.13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95373.51</v>
      </c>
      <c r="U68" s="3"/>
      <c r="V68" s="20">
        <f t="shared" si="9"/>
        <v>7.2741562849837085E-2</v>
      </c>
      <c r="W68" s="3"/>
      <c r="X68" s="3">
        <f t="shared" si="10"/>
        <v>-95373.51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","5086"," - ","PURCHASES @ COST-COMPUTER SUPP")</f>
        <v xml:space="preserve">          5086 - PURCHASES @ COST-COMPUTER SUPP</v>
      </c>
      <c r="C69" s="12"/>
      <c r="D69" s="3"/>
      <c r="E69" s="3"/>
      <c r="F69" s="20">
        <f t="shared" si="4"/>
        <v>0</v>
      </c>
      <c r="G69" s="3"/>
      <c r="H69" s="3">
        <v>13.21</v>
      </c>
      <c r="I69" s="3"/>
      <c r="J69" s="20">
        <f t="shared" si="5"/>
        <v>1.0979492950226328E-4</v>
      </c>
      <c r="K69" s="3"/>
      <c r="L69" s="3">
        <f t="shared" si="6"/>
        <v>-13.21</v>
      </c>
      <c r="M69" s="3"/>
      <c r="N69" s="20">
        <f t="shared" si="7"/>
        <v>-1</v>
      </c>
      <c r="O69" s="12"/>
      <c r="P69" s="3"/>
      <c r="Q69" s="3"/>
      <c r="R69" s="20">
        <f t="shared" si="8"/>
        <v>0</v>
      </c>
      <c r="S69" s="3"/>
      <c r="T69" s="3">
        <v>13.21</v>
      </c>
      <c r="U69" s="3"/>
      <c r="V69" s="20">
        <f t="shared" si="9"/>
        <v>1.007529286954363E-5</v>
      </c>
      <c r="W69" s="3"/>
      <c r="X69" s="3">
        <f t="shared" si="10"/>
        <v>-13.21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","5200"," - ","PURCHASES OFFSET")</f>
        <v xml:space="preserve">          5200 - PURCHASES OFFSET</v>
      </c>
      <c r="C70" s="12"/>
      <c r="D70" s="3">
        <v>-215663.88</v>
      </c>
      <c r="E70" s="3"/>
      <c r="F70" s="20">
        <f t="shared" si="4"/>
        <v>-0.40523775882109092</v>
      </c>
      <c r="G70" s="3"/>
      <c r="H70" s="3">
        <v>-58076.24</v>
      </c>
      <c r="I70" s="3"/>
      <c r="J70" s="20">
        <f t="shared" si="5"/>
        <v>-0.48270073251752627</v>
      </c>
      <c r="K70" s="3"/>
      <c r="L70" s="3">
        <f t="shared" si="6"/>
        <v>-157587.64000000001</v>
      </c>
      <c r="M70" s="3"/>
      <c r="N70" s="20">
        <f t="shared" si="7"/>
        <v>2.7134614775336701</v>
      </c>
      <c r="O70" s="12"/>
      <c r="P70" s="3">
        <v>-1473953.3</v>
      </c>
      <c r="Q70" s="3"/>
      <c r="R70" s="20">
        <f t="shared" si="8"/>
        <v>-0.53082142835830626</v>
      </c>
      <c r="S70" s="3"/>
      <c r="T70" s="3">
        <v>-475353.21</v>
      </c>
      <c r="U70" s="3"/>
      <c r="V70" s="20">
        <f t="shared" si="9"/>
        <v>-0.36255282416560752</v>
      </c>
      <c r="W70" s="3"/>
      <c r="X70" s="3">
        <f t="shared" si="10"/>
        <v>-998600.09000000008</v>
      </c>
      <c r="Y70" s="3"/>
      <c r="Z70" s="20">
        <f t="shared" si="11"/>
        <v>2.1007538583782783</v>
      </c>
    </row>
    <row r="71" spans="1:26" s="69" customFormat="1" ht="15" hidden="1" customHeight="1" outlineLevel="1" x14ac:dyDescent="0.3">
      <c r="A71" s="42"/>
      <c r="B71" s="12" t="str">
        <f>CONCATENATE("          ","5300"," - ","COG$ OFFSET")</f>
        <v xml:space="preserve">          5300 - COG$ OFFSET</v>
      </c>
      <c r="C71" s="12"/>
      <c r="D71" s="3">
        <v>240681.03</v>
      </c>
      <c r="E71" s="3"/>
      <c r="F71" s="20">
        <f t="shared" si="4"/>
        <v>0.45224560175747436</v>
      </c>
      <c r="G71" s="3"/>
      <c r="H71" s="3">
        <v>62366</v>
      </c>
      <c r="I71" s="3"/>
      <c r="J71" s="20">
        <f t="shared" si="5"/>
        <v>0.51835507746693044</v>
      </c>
      <c r="K71" s="3"/>
      <c r="L71" s="3">
        <f t="shared" si="6"/>
        <v>178315.03</v>
      </c>
      <c r="M71" s="3"/>
      <c r="N71" s="20">
        <f t="shared" si="7"/>
        <v>2.8591705416412787</v>
      </c>
      <c r="O71" s="12"/>
      <c r="P71" s="3">
        <v>1340569.04</v>
      </c>
      <c r="Q71" s="3"/>
      <c r="R71" s="20">
        <f t="shared" si="8"/>
        <v>0.48278515515092868</v>
      </c>
      <c r="S71" s="3"/>
      <c r="T71" s="3">
        <v>744360</v>
      </c>
      <c r="U71" s="3"/>
      <c r="V71" s="20">
        <f t="shared" si="9"/>
        <v>0.56772482970276272</v>
      </c>
      <c r="W71" s="3"/>
      <c r="X71" s="3">
        <f t="shared" si="10"/>
        <v>596209.04</v>
      </c>
      <c r="Y71" s="3"/>
      <c r="Z71" s="20">
        <f t="shared" si="11"/>
        <v>0.80096867107313674</v>
      </c>
    </row>
    <row r="72" spans="1:26" s="69" customFormat="1" ht="15" hidden="1" customHeight="1" outlineLevel="1" x14ac:dyDescent="0.3">
      <c r="A72" s="42"/>
      <c r="B72" s="12" t="str">
        <f>CONCATENATE("          ","5500"," - ","FREIGHT-IN")</f>
        <v xml:space="preserve">          5500 - FREIGHT-IN</v>
      </c>
      <c r="C72" s="12"/>
      <c r="D72" s="3">
        <v>9817.56</v>
      </c>
      <c r="E72" s="3"/>
      <c r="F72" s="20">
        <f t="shared" si="4"/>
        <v>1.8447437797611675E-2</v>
      </c>
      <c r="G72" s="3"/>
      <c r="H72" s="3"/>
      <c r="I72" s="3"/>
      <c r="J72" s="20">
        <f t="shared" si="5"/>
        <v>0</v>
      </c>
      <c r="K72" s="3"/>
      <c r="L72" s="3">
        <f t="shared" si="6"/>
        <v>9817.56</v>
      </c>
      <c r="M72" s="3"/>
      <c r="N72" s="20">
        <f t="shared" si="7"/>
        <v>0</v>
      </c>
      <c r="O72" s="12"/>
      <c r="P72" s="3">
        <v>52198.81</v>
      </c>
      <c r="Q72" s="3"/>
      <c r="R72" s="20">
        <f t="shared" si="8"/>
        <v>1.8798592114691717E-2</v>
      </c>
      <c r="S72" s="3"/>
      <c r="T72" s="3"/>
      <c r="U72" s="3"/>
      <c r="V72" s="20">
        <f t="shared" si="9"/>
        <v>0</v>
      </c>
      <c r="W72" s="3"/>
      <c r="X72" s="3">
        <f t="shared" si="10"/>
        <v>52198.81</v>
      </c>
      <c r="Y72" s="3"/>
      <c r="Z72" s="20">
        <f t="shared" si="11"/>
        <v>0</v>
      </c>
    </row>
    <row r="73" spans="1:26" s="69" customFormat="1" ht="15" hidden="1" customHeight="1" outlineLevel="1" x14ac:dyDescent="0.3">
      <c r="A73" s="42"/>
      <c r="B73" s="12" t="str">
        <f>CONCATENATE("          ","5525"," - ","FREIGHT-IN-TEST FORMS")</f>
        <v xml:space="preserve">          5525 - FREIGHT-IN-TEST FORMS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48.14</v>
      </c>
      <c r="U73" s="3"/>
      <c r="V73" s="20">
        <f t="shared" si="9"/>
        <v>3.6716472274021979E-5</v>
      </c>
      <c r="W73" s="3"/>
      <c r="X73" s="3">
        <f t="shared" si="10"/>
        <v>-48.14</v>
      </c>
      <c r="Y73" s="3"/>
      <c r="Z73" s="20">
        <f t="shared" si="11"/>
        <v>-1</v>
      </c>
    </row>
    <row r="74" spans="1:26" s="69" customFormat="1" ht="15" hidden="1" customHeight="1" outlineLevel="1" x14ac:dyDescent="0.3">
      <c r="A74" s="42"/>
      <c r="B74" s="12" t="str">
        <f>CONCATENATE("          ","5526"," - ","FREIGHT-IN-WRITING INSTRUMENTS")</f>
        <v xml:space="preserve">          5526 - FREIGHT-IN-WRITING INSTRUMENTS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/>
      <c r="Q74" s="3"/>
      <c r="R74" s="20">
        <f t="shared" si="8"/>
        <v>0</v>
      </c>
      <c r="S74" s="3"/>
      <c r="T74" s="3">
        <v>0</v>
      </c>
      <c r="U74" s="3"/>
      <c r="V74" s="20">
        <f t="shared" si="9"/>
        <v>0</v>
      </c>
      <c r="W74" s="3"/>
      <c r="X74" s="3">
        <f t="shared" si="10"/>
        <v>0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","5527"," - ","FREIGHT-IN-SCHOOL SUPPLIES")</f>
        <v xml:space="preserve">          5527 - FREIGHT-IN-SCHOOL SUPPLIES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>
        <v>0</v>
      </c>
      <c r="Q75" s="3"/>
      <c r="R75" s="20">
        <f t="shared" si="8"/>
        <v>0</v>
      </c>
      <c r="S75" s="3"/>
      <c r="T75" s="3">
        <v>177.5</v>
      </c>
      <c r="U75" s="3"/>
      <c r="V75" s="20">
        <f t="shared" si="9"/>
        <v>1.3537959760363317E-4</v>
      </c>
      <c r="W75" s="3"/>
      <c r="X75" s="3">
        <f t="shared" si="10"/>
        <v>-177.5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","5528"," - ","FREIGHT-IN-ART/TECH")</f>
        <v xml:space="preserve">          5528 - FREIGHT-IN-ART/TECH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33.950000000000003</v>
      </c>
      <c r="U76" s="3"/>
      <c r="V76" s="20">
        <f t="shared" si="9"/>
        <v>2.5893731485314629E-5</v>
      </c>
      <c r="W76" s="3"/>
      <c r="X76" s="3">
        <f t="shared" si="10"/>
        <v>-33.950000000000003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","5540"," - ","FREIGHT-IN-LOGO CLOTHING")</f>
        <v xml:space="preserve">          5540 - FREIGHT-IN-LOGO CLOTHING</v>
      </c>
      <c r="C77" s="12"/>
      <c r="D77" s="3"/>
      <c r="E77" s="3"/>
      <c r="F77" s="20">
        <f t="shared" si="4"/>
        <v>0</v>
      </c>
      <c r="G77" s="3"/>
      <c r="H77" s="3">
        <v>150.6</v>
      </c>
      <c r="I77" s="3"/>
      <c r="J77" s="20">
        <f t="shared" si="5"/>
        <v>1.2517120653323882E-3</v>
      </c>
      <c r="K77" s="3"/>
      <c r="L77" s="3">
        <f t="shared" si="6"/>
        <v>-150.6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5941.23</v>
      </c>
      <c r="U77" s="3"/>
      <c r="V77" s="20">
        <f t="shared" si="9"/>
        <v>4.5313877558908928E-3</v>
      </c>
      <c r="W77" s="3"/>
      <c r="X77" s="3">
        <f t="shared" si="10"/>
        <v>-5941.23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","5541"," - ","FREIGHT-IN-LOGO GIFTS")</f>
        <v xml:space="preserve">          5541 - FREIGHT-IN-LOGO GIFTS</v>
      </c>
      <c r="C78" s="12"/>
      <c r="D78" s="3"/>
      <c r="E78" s="3"/>
      <c r="F78" s="20">
        <f t="shared" si="4"/>
        <v>0</v>
      </c>
      <c r="G78" s="3"/>
      <c r="H78" s="3">
        <v>375.06</v>
      </c>
      <c r="I78" s="3"/>
      <c r="J78" s="20">
        <f t="shared" si="5"/>
        <v>3.1173116017501031E-3</v>
      </c>
      <c r="K78" s="3"/>
      <c r="L78" s="3">
        <f t="shared" si="6"/>
        <v>-375.06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2077.9299999999998</v>
      </c>
      <c r="U78" s="3"/>
      <c r="V78" s="20">
        <f t="shared" si="9"/>
        <v>1.5848412802733378E-3</v>
      </c>
      <c r="W78" s="3"/>
      <c r="X78" s="3">
        <f t="shared" si="10"/>
        <v>-2077.9299999999998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","5542"," - ","FREIGHT-IN-EVERYDAY GIFTS")</f>
        <v xml:space="preserve">          5542 - FREIGHT-IN-EVERYDAY GIFTS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>
        <v>0</v>
      </c>
      <c r="Q79" s="3"/>
      <c r="R79" s="20">
        <f t="shared" si="8"/>
        <v>0</v>
      </c>
      <c r="S79" s="3"/>
      <c r="T79" s="3">
        <v>383.93</v>
      </c>
      <c r="U79" s="3"/>
      <c r="V79" s="20">
        <f t="shared" si="9"/>
        <v>2.9282416286176272E-4</v>
      </c>
      <c r="W79" s="3"/>
      <c r="X79" s="3">
        <f t="shared" si="10"/>
        <v>-383.93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","5543"," - ","FREIGHT-IN-CARDS")</f>
        <v xml:space="preserve">          5543 - FREIGHT-IN-CARDS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/>
      <c r="Q80" s="3"/>
      <c r="R80" s="20">
        <f t="shared" si="8"/>
        <v>0</v>
      </c>
      <c r="S80" s="3"/>
      <c r="T80" s="3">
        <v>9110.5300000000007</v>
      </c>
      <c r="U80" s="3"/>
      <c r="V80" s="20">
        <f t="shared" si="9"/>
        <v>6.948619072427201E-3</v>
      </c>
      <c r="W80" s="3"/>
      <c r="X80" s="3">
        <f t="shared" si="10"/>
        <v>-9110.5300000000007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","5544"," - ","FREIGHT-IN-ACCESSORIES")</f>
        <v xml:space="preserve">          5544 - FREIGHT-IN-ACCESSORIES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/>
      <c r="U81" s="3"/>
      <c r="V81" s="20">
        <f t="shared" si="9"/>
        <v>0</v>
      </c>
      <c r="W81" s="3"/>
      <c r="X81" s="3">
        <f t="shared" si="10"/>
        <v>0</v>
      </c>
      <c r="Y81" s="3"/>
      <c r="Z81" s="20">
        <f t="shared" si="11"/>
        <v>0</v>
      </c>
    </row>
    <row r="82" spans="1:26" s="69" customFormat="1" ht="15" hidden="1" customHeight="1" outlineLevel="1" x14ac:dyDescent="0.3">
      <c r="A82" s="42"/>
      <c r="B82" s="12" t="str">
        <f>CONCATENATE("          ","5545"," - ","FREIGHT-IN-SPECIAL ORDERS")</f>
        <v xml:space="preserve">          5545 - FREIGHT-IN-SPECIAL ORDERS</v>
      </c>
      <c r="C82" s="12"/>
      <c r="D82" s="3"/>
      <c r="E82" s="3"/>
      <c r="F82" s="20">
        <f t="shared" si="4"/>
        <v>0</v>
      </c>
      <c r="G82" s="3"/>
      <c r="H82" s="3">
        <v>134.74</v>
      </c>
      <c r="I82" s="3"/>
      <c r="J82" s="20">
        <f t="shared" si="5"/>
        <v>1.1198916579208899E-3</v>
      </c>
      <c r="K82" s="3"/>
      <c r="L82" s="3">
        <f t="shared" si="6"/>
        <v>-134.74</v>
      </c>
      <c r="M82" s="3"/>
      <c r="N82" s="20">
        <f t="shared" si="7"/>
        <v>-1</v>
      </c>
      <c r="O82" s="12"/>
      <c r="P82" s="3">
        <v>0</v>
      </c>
      <c r="Q82" s="3"/>
      <c r="R82" s="20">
        <f t="shared" si="8"/>
        <v>0</v>
      </c>
      <c r="S82" s="3"/>
      <c r="T82" s="3">
        <v>1248.53</v>
      </c>
      <c r="U82" s="3"/>
      <c r="V82" s="20">
        <f t="shared" si="9"/>
        <v>9.5225627603416402E-4</v>
      </c>
      <c r="W82" s="3"/>
      <c r="X82" s="3">
        <f t="shared" si="10"/>
        <v>-1248.53</v>
      </c>
      <c r="Y82" s="3"/>
      <c r="Z82" s="20">
        <f t="shared" si="11"/>
        <v>-1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288</v>
      </c>
      <c r="C84" s="28"/>
      <c r="D84" s="23">
        <f>D12-D56</f>
        <v>291509.94999999995</v>
      </c>
      <c r="E84" s="15"/>
      <c r="F84" s="22">
        <f>IF(D$12=0,0,D84/D$12)</f>
        <v>0.54775439824252559</v>
      </c>
      <c r="G84" s="15"/>
      <c r="H84" s="23">
        <f>H12-H56</f>
        <v>57949.21</v>
      </c>
      <c r="I84" s="15"/>
      <c r="J84" s="22">
        <f>IF(H$12=0,0,H84/H$12)</f>
        <v>0.48164492253306962</v>
      </c>
      <c r="K84" s="17"/>
      <c r="L84" s="23">
        <f>+D84-H84</f>
        <v>233560.73999999996</v>
      </c>
      <c r="M84" s="17"/>
      <c r="N84" s="22">
        <f>IF(H84=0,0,L84/H84)</f>
        <v>4.030438723841101</v>
      </c>
      <c r="O84" s="27"/>
      <c r="P84" s="23">
        <f>P12-P56</f>
        <v>1436171.3499999996</v>
      </c>
      <c r="Q84" s="15"/>
      <c r="R84" s="22">
        <f>IF(P$12=0,0,P84/P$12)</f>
        <v>0.51721484484907132</v>
      </c>
      <c r="S84" s="15"/>
      <c r="T84" s="23">
        <f>T12-T56</f>
        <v>565851.59999999974</v>
      </c>
      <c r="U84" s="15"/>
      <c r="V84" s="22">
        <f>IF(T$12=0,0,T84/T$12)</f>
        <v>0.43157612344434909</v>
      </c>
      <c r="W84" s="17"/>
      <c r="X84" s="23">
        <f>+P84-T84</f>
        <v>870319.74999999988</v>
      </c>
      <c r="Y84" s="17"/>
      <c r="Z84" s="22">
        <f>IF(T84=0,0,X84/T84)</f>
        <v>1.5380706708260616</v>
      </c>
    </row>
    <row r="85" spans="1:26" ht="15" customHeight="1" x14ac:dyDescent="0.3">
      <c r="A85" s="10"/>
      <c r="B85" s="11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2" customFormat="1" ht="15" customHeight="1" x14ac:dyDescent="0.3">
      <c r="A86" s="11"/>
      <c r="B86" s="27" t="s">
        <v>289</v>
      </c>
      <c r="C86" s="11"/>
      <c r="D86" s="21" cm="1">
        <f t="array" ref="D86">SUM(OSRRefD22x_0)</f>
        <v>110247.18000000001</v>
      </c>
      <c r="E86" s="21"/>
      <c r="F86" s="30">
        <f t="shared" ref="F86:F117" si="12">IF(D$12=0,0,D86/D$12)</f>
        <v>0.20715717504268866</v>
      </c>
      <c r="G86" s="21"/>
      <c r="H86" s="21" cm="1">
        <f t="array" ref="H86">SUM(OSRRefH22x_0)</f>
        <v>59265.639999999992</v>
      </c>
      <c r="I86" s="21"/>
      <c r="J86" s="30">
        <f t="shared" ref="J86:J117" si="13">IF(H$12=0,0,H86/H$12)</f>
        <v>0.49258643192327883</v>
      </c>
      <c r="K86" s="5"/>
      <c r="L86" s="21">
        <f t="shared" ref="L86:L117" si="14">+D86-H86</f>
        <v>50981.540000000015</v>
      </c>
      <c r="M86" s="5"/>
      <c r="N86" s="30">
        <f t="shared" ref="N86:N117" si="15">IF(H86=0,0,L86/H86)</f>
        <v>0.86022086321855329</v>
      </c>
      <c r="O86" s="11"/>
      <c r="P86" s="21" cm="1">
        <f t="array" ref="P86">SUM(OSRRefP22x_0)</f>
        <v>794116.15</v>
      </c>
      <c r="Q86" s="21"/>
      <c r="R86" s="30">
        <f t="shared" ref="R86:R117" si="16">IF(P$12=0,0,P86/P$12)</f>
        <v>0.28598861919532931</v>
      </c>
      <c r="S86" s="21"/>
      <c r="T86" s="21" cm="1">
        <f t="array" ref="T86">SUM(OSRRefT22x_0)</f>
        <v>543910.10999999987</v>
      </c>
      <c r="U86" s="21"/>
      <c r="V86" s="30">
        <f t="shared" ref="V86:V117" si="17">IF(T$12=0,0,T86/T$12)</f>
        <v>0.41484130605266384</v>
      </c>
      <c r="W86" s="5"/>
      <c r="X86" s="21">
        <f t="shared" ref="X86:X117" si="18">+P86-T86</f>
        <v>250206.04000000015</v>
      </c>
      <c r="Y86" s="5"/>
      <c r="Z86" s="30">
        <f t="shared" ref="Z86:Z117" si="19">IF(T86=0,0,X86/T86)</f>
        <v>0.46001358570076994</v>
      </c>
    </row>
    <row r="87" spans="1:26" s="68" customFormat="1" ht="15" customHeight="1" outlineLevel="1" collapsed="1" x14ac:dyDescent="0.3">
      <c r="A87" s="25"/>
      <c r="B87" s="14" t="str">
        <f>CONCATENATE("     ","*Benefits                                         ")</f>
        <v xml:space="preserve">     *Benefits                                         </v>
      </c>
      <c r="C87" s="14"/>
      <c r="D87" s="2">
        <f>SUM(OSRRefD22_0x_0)</f>
        <v>14980.61</v>
      </c>
      <c r="E87" s="2"/>
      <c r="F87" s="6">
        <f t="shared" si="12"/>
        <v>2.814893630854097E-2</v>
      </c>
      <c r="G87" s="2"/>
      <c r="H87" s="2">
        <f>SUM(OSRRefH22_0x_0)</f>
        <v>13085.359999999999</v>
      </c>
      <c r="I87" s="2"/>
      <c r="J87" s="6">
        <f t="shared" si="13"/>
        <v>0.1087589840054304</v>
      </c>
      <c r="K87" s="2"/>
      <c r="L87" s="2">
        <f t="shared" si="14"/>
        <v>1895.2500000000018</v>
      </c>
      <c r="M87" s="2"/>
      <c r="N87" s="6">
        <f t="shared" si="15"/>
        <v>0.14483743664675652</v>
      </c>
      <c r="O87" s="14"/>
      <c r="P87" s="2">
        <f>SUM(OSRRefP22_0x_0)</f>
        <v>119924.72</v>
      </c>
      <c r="Q87" s="2"/>
      <c r="R87" s="6">
        <f t="shared" si="16"/>
        <v>4.3189028557329416E-2</v>
      </c>
      <c r="S87" s="2"/>
      <c r="T87" s="2">
        <f>SUM(OSRRefT22_0x_0)</f>
        <v>120468.24</v>
      </c>
      <c r="U87" s="2"/>
      <c r="V87" s="6">
        <f t="shared" si="17"/>
        <v>9.1881362564607924E-2</v>
      </c>
      <c r="W87" s="2"/>
      <c r="X87" s="2">
        <f t="shared" si="18"/>
        <v>-543.52000000000407</v>
      </c>
      <c r="Y87" s="2"/>
      <c r="Z87" s="6">
        <f t="shared" si="19"/>
        <v>-4.5117285684592393E-3</v>
      </c>
    </row>
    <row r="88" spans="1:26" s="69" customFormat="1" ht="15" hidden="1" customHeight="1" outlineLevel="2" x14ac:dyDescent="0.3">
      <c r="A88" s="26"/>
      <c r="B88" s="12" t="str">
        <f>CONCATENATE("          ","6111"," - ","F.I.C.A.")</f>
        <v xml:space="preserve">          6111 - F.I.C.A.</v>
      </c>
      <c r="C88" s="12"/>
      <c r="D88" s="8">
        <v>2229.33</v>
      </c>
      <c r="E88" s="3"/>
      <c r="F88" s="7">
        <f t="shared" si="12"/>
        <v>4.1889661489565265E-3</v>
      </c>
      <c r="G88" s="3"/>
      <c r="H88" s="8">
        <v>2409.65</v>
      </c>
      <c r="I88" s="3"/>
      <c r="J88" s="7">
        <f t="shared" si="13"/>
        <v>2.0027808620373105E-2</v>
      </c>
      <c r="K88" s="3"/>
      <c r="L88" s="8">
        <f t="shared" si="14"/>
        <v>-180.32000000000016</v>
      </c>
      <c r="M88" s="3"/>
      <c r="N88" s="7">
        <f t="shared" si="15"/>
        <v>-7.4832444545888471E-2</v>
      </c>
      <c r="O88" s="12"/>
      <c r="P88" s="8">
        <v>21793.360000000001</v>
      </c>
      <c r="Q88" s="3"/>
      <c r="R88" s="7">
        <f t="shared" si="16"/>
        <v>7.8485407128752148E-3</v>
      </c>
      <c r="S88" s="3"/>
      <c r="T88" s="8">
        <v>23705.61</v>
      </c>
      <c r="U88" s="3"/>
      <c r="V88" s="7">
        <f t="shared" si="17"/>
        <v>1.8080315170415001E-2</v>
      </c>
      <c r="W88" s="3"/>
      <c r="X88" s="8">
        <f t="shared" si="18"/>
        <v>-1912.25</v>
      </c>
      <c r="Y88" s="3"/>
      <c r="Z88" s="7">
        <f t="shared" si="19"/>
        <v>-8.0666559519033676E-2</v>
      </c>
    </row>
    <row r="89" spans="1:26" s="69" customFormat="1" ht="15" hidden="1" customHeight="1" outlineLevel="2" x14ac:dyDescent="0.3">
      <c r="A89" s="26"/>
      <c r="B89" s="12" t="str">
        <f>CONCATENATE("          ","6112"," - ","COMPENSATION INSURANCE")</f>
        <v xml:space="preserve">          6112 - COMPENSATION INSURANCE</v>
      </c>
      <c r="C89" s="12"/>
      <c r="D89" s="8">
        <v>1171.51</v>
      </c>
      <c r="E89" s="3"/>
      <c r="F89" s="7">
        <f t="shared" si="12"/>
        <v>2.2012962339196356E-3</v>
      </c>
      <c r="G89" s="3"/>
      <c r="H89" s="8">
        <v>745.07</v>
      </c>
      <c r="I89" s="3"/>
      <c r="J89" s="7">
        <f t="shared" si="13"/>
        <v>6.1926501229561922E-3</v>
      </c>
      <c r="K89" s="3"/>
      <c r="L89" s="8">
        <f t="shared" si="14"/>
        <v>426.43999999999994</v>
      </c>
      <c r="M89" s="3"/>
      <c r="N89" s="7">
        <f t="shared" si="15"/>
        <v>0.57234890681412476</v>
      </c>
      <c r="O89" s="12"/>
      <c r="P89" s="8">
        <v>7504.08</v>
      </c>
      <c r="Q89" s="3"/>
      <c r="R89" s="7">
        <f t="shared" si="16"/>
        <v>2.7024780663776784E-3</v>
      </c>
      <c r="S89" s="3"/>
      <c r="T89" s="8">
        <v>8485.1200000000008</v>
      </c>
      <c r="U89" s="3"/>
      <c r="V89" s="7">
        <f t="shared" si="17"/>
        <v>6.4716176406678311E-3</v>
      </c>
      <c r="W89" s="3"/>
      <c r="X89" s="8">
        <f t="shared" si="18"/>
        <v>-981.04000000000087</v>
      </c>
      <c r="Y89" s="3"/>
      <c r="Z89" s="7">
        <f t="shared" si="19"/>
        <v>-0.11561887162467953</v>
      </c>
    </row>
    <row r="90" spans="1:26" s="69" customFormat="1" ht="15" hidden="1" customHeight="1" outlineLevel="2" x14ac:dyDescent="0.3">
      <c r="A90" s="26"/>
      <c r="B90" s="12" t="str">
        <f>CONCATENATE("          ","6113"," - ","GROUP INSURANCE")</f>
        <v xml:space="preserve">          6113 - GROUP INSURANCE</v>
      </c>
      <c r="C90" s="12"/>
      <c r="D90" s="8">
        <v>4988.75</v>
      </c>
      <c r="E90" s="3"/>
      <c r="F90" s="7">
        <f t="shared" si="12"/>
        <v>9.3739845045851776E-3</v>
      </c>
      <c r="G90" s="3"/>
      <c r="H90" s="8">
        <v>4826.13</v>
      </c>
      <c r="I90" s="3"/>
      <c r="J90" s="7">
        <f t="shared" si="13"/>
        <v>4.0112384793244346E-2</v>
      </c>
      <c r="K90" s="3"/>
      <c r="L90" s="8">
        <f t="shared" si="14"/>
        <v>162.61999999999989</v>
      </c>
      <c r="M90" s="3"/>
      <c r="N90" s="7">
        <f t="shared" si="15"/>
        <v>3.3695735506503115E-2</v>
      </c>
      <c r="O90" s="12"/>
      <c r="P90" s="8">
        <v>38322.03</v>
      </c>
      <c r="Q90" s="3"/>
      <c r="R90" s="7">
        <f t="shared" si="16"/>
        <v>1.3801084947664122E-2</v>
      </c>
      <c r="S90" s="3"/>
      <c r="T90" s="8">
        <v>43771.17</v>
      </c>
      <c r="U90" s="3"/>
      <c r="V90" s="7">
        <f t="shared" si="17"/>
        <v>3.3384357077409686E-2</v>
      </c>
      <c r="W90" s="3"/>
      <c r="X90" s="8">
        <f t="shared" si="18"/>
        <v>-5449.1399999999994</v>
      </c>
      <c r="Y90" s="3"/>
      <c r="Z90" s="7">
        <f t="shared" si="19"/>
        <v>-0.12449153175480572</v>
      </c>
    </row>
    <row r="91" spans="1:26" s="69" customFormat="1" ht="15" hidden="1" customHeight="1" outlineLevel="2" x14ac:dyDescent="0.3">
      <c r="A91" s="26"/>
      <c r="B91" s="12" t="str">
        <f>CONCATENATE("          ","6114"," - ","STATE UNEMPLOYMENT INSURANCE")</f>
        <v xml:space="preserve">          6114 - STATE UNEMPLOYMENT INSURANCE</v>
      </c>
      <c r="C91" s="12"/>
      <c r="D91" s="8">
        <v>206.65</v>
      </c>
      <c r="E91" s="3"/>
      <c r="F91" s="7">
        <f t="shared" si="12"/>
        <v>3.8830045559960449E-4</v>
      </c>
      <c r="G91" s="3"/>
      <c r="H91" s="8">
        <v>104.71</v>
      </c>
      <c r="I91" s="3"/>
      <c r="J91" s="7">
        <f t="shared" si="13"/>
        <v>8.7029727995321623E-4</v>
      </c>
      <c r="K91" s="3"/>
      <c r="L91" s="8">
        <f t="shared" si="14"/>
        <v>101.94000000000001</v>
      </c>
      <c r="M91" s="3"/>
      <c r="N91" s="7">
        <f t="shared" si="15"/>
        <v>0.97354598414669102</v>
      </c>
      <c r="O91" s="12"/>
      <c r="P91" s="8">
        <v>1319.23</v>
      </c>
      <c r="Q91" s="3"/>
      <c r="R91" s="7">
        <f t="shared" si="16"/>
        <v>4.7510023074213292E-4</v>
      </c>
      <c r="S91" s="3"/>
      <c r="T91" s="8">
        <v>992.39</v>
      </c>
      <c r="U91" s="3"/>
      <c r="V91" s="7">
        <f t="shared" si="17"/>
        <v>7.5689779642743396E-4</v>
      </c>
      <c r="W91" s="3"/>
      <c r="X91" s="8">
        <f t="shared" si="18"/>
        <v>326.84000000000003</v>
      </c>
      <c r="Y91" s="3"/>
      <c r="Z91" s="7">
        <f t="shared" si="19"/>
        <v>0.32934632553733917</v>
      </c>
    </row>
    <row r="92" spans="1:26" s="69" customFormat="1" ht="15" hidden="1" customHeight="1" outlineLevel="2" x14ac:dyDescent="0.3">
      <c r="A92" s="26"/>
      <c r="B92" s="12" t="str">
        <f>CONCATENATE("          ","6115"," - ","P.E.R.S.")</f>
        <v xml:space="preserve">          6115 - P.E.R.S.</v>
      </c>
      <c r="C92" s="12"/>
      <c r="D92" s="8">
        <v>1403.98</v>
      </c>
      <c r="E92" s="3"/>
      <c r="F92" s="7">
        <f t="shared" si="12"/>
        <v>2.6381131074412422E-3</v>
      </c>
      <c r="G92" s="3"/>
      <c r="H92" s="8">
        <v>1852.83</v>
      </c>
      <c r="I92" s="3"/>
      <c r="J92" s="7">
        <f t="shared" si="13"/>
        <v>1.5399798579082396E-2</v>
      </c>
      <c r="K92" s="3"/>
      <c r="L92" s="8">
        <f t="shared" si="14"/>
        <v>-448.84999999999991</v>
      </c>
      <c r="M92" s="3"/>
      <c r="N92" s="7">
        <f t="shared" si="15"/>
        <v>-0.24225104299908784</v>
      </c>
      <c r="O92" s="12"/>
      <c r="P92" s="8">
        <v>13439.63</v>
      </c>
      <c r="Q92" s="3"/>
      <c r="R92" s="7">
        <f t="shared" si="16"/>
        <v>4.8400743722390267E-3</v>
      </c>
      <c r="S92" s="3"/>
      <c r="T92" s="8">
        <v>16248.03</v>
      </c>
      <c r="U92" s="3"/>
      <c r="V92" s="7">
        <f t="shared" si="17"/>
        <v>1.2392404300009915E-2</v>
      </c>
      <c r="W92" s="3"/>
      <c r="X92" s="8">
        <f t="shared" si="18"/>
        <v>-2808.4000000000015</v>
      </c>
      <c r="Y92" s="3"/>
      <c r="Z92" s="7">
        <f t="shared" si="19"/>
        <v>-0.1728455695859745</v>
      </c>
    </row>
    <row r="93" spans="1:26" s="69" customFormat="1" ht="15" hidden="1" customHeight="1" outlineLevel="2" x14ac:dyDescent="0.3">
      <c r="A93" s="26"/>
      <c r="B93" s="12" t="str">
        <f>CONCATENATE("          ","6118"," - ","VACATION")</f>
        <v xml:space="preserve">          6118 - VACATION</v>
      </c>
      <c r="C93" s="12"/>
      <c r="D93" s="8">
        <v>2084.77</v>
      </c>
      <c r="E93" s="3"/>
      <c r="F93" s="7">
        <f t="shared" si="12"/>
        <v>3.9173343373839218E-3</v>
      </c>
      <c r="G93" s="3"/>
      <c r="H93" s="8">
        <v>1633.18</v>
      </c>
      <c r="I93" s="3"/>
      <c r="J93" s="7">
        <f t="shared" si="13"/>
        <v>1.3574177362945219E-2</v>
      </c>
      <c r="K93" s="3"/>
      <c r="L93" s="8">
        <f t="shared" si="14"/>
        <v>451.58999999999992</v>
      </c>
      <c r="M93" s="3"/>
      <c r="N93" s="7">
        <f t="shared" si="15"/>
        <v>0.27650963151642799</v>
      </c>
      <c r="O93" s="12"/>
      <c r="P93" s="8">
        <v>16590.060000000001</v>
      </c>
      <c r="Q93" s="3"/>
      <c r="R93" s="7">
        <f t="shared" si="16"/>
        <v>5.9746528914789918E-3</v>
      </c>
      <c r="S93" s="3"/>
      <c r="T93" s="8">
        <v>13629.41</v>
      </c>
      <c r="U93" s="3"/>
      <c r="V93" s="7">
        <f t="shared" si="17"/>
        <v>1.0395177697886952E-2</v>
      </c>
      <c r="W93" s="3"/>
      <c r="X93" s="8">
        <f t="shared" si="18"/>
        <v>2960.6500000000015</v>
      </c>
      <c r="Y93" s="3"/>
      <c r="Z93" s="7">
        <f t="shared" si="19"/>
        <v>0.21722510365452366</v>
      </c>
    </row>
    <row r="94" spans="1:26" s="69" customFormat="1" ht="15" hidden="1" customHeight="1" outlineLevel="2" x14ac:dyDescent="0.3">
      <c r="A94" s="26"/>
      <c r="B94" s="12" t="str">
        <f>CONCATENATE("          ","6119"," - ","SICK LEAVE")</f>
        <v xml:space="preserve">          6119 - SICK LEAVE</v>
      </c>
      <c r="C94" s="12"/>
      <c r="D94" s="8">
        <v>1933.93</v>
      </c>
      <c r="E94" s="3"/>
      <c r="F94" s="7">
        <f t="shared" si="12"/>
        <v>3.6339022506544551E-3</v>
      </c>
      <c r="G94" s="3"/>
      <c r="H94" s="8">
        <v>1105.6199999999999</v>
      </c>
      <c r="I94" s="3"/>
      <c r="J94" s="7">
        <f t="shared" si="13"/>
        <v>9.1893618437768592E-3</v>
      </c>
      <c r="K94" s="3"/>
      <c r="L94" s="8">
        <f t="shared" si="14"/>
        <v>828.31000000000017</v>
      </c>
      <c r="M94" s="3"/>
      <c r="N94" s="7">
        <f t="shared" si="15"/>
        <v>0.74918145474937159</v>
      </c>
      <c r="O94" s="12"/>
      <c r="P94" s="8">
        <v>14600.36</v>
      </c>
      <c r="Q94" s="3"/>
      <c r="R94" s="7">
        <f t="shared" si="16"/>
        <v>5.2580932854151344E-3</v>
      </c>
      <c r="S94" s="3"/>
      <c r="T94" s="8">
        <v>10131.02</v>
      </c>
      <c r="U94" s="3"/>
      <c r="V94" s="7">
        <f t="shared" si="17"/>
        <v>7.7269487938837166E-3</v>
      </c>
      <c r="W94" s="3"/>
      <c r="X94" s="8">
        <f t="shared" si="18"/>
        <v>4469.34</v>
      </c>
      <c r="Y94" s="3"/>
      <c r="Z94" s="7">
        <f t="shared" si="19"/>
        <v>0.44115400028822371</v>
      </c>
    </row>
    <row r="95" spans="1:26" s="69" customFormat="1" ht="15" hidden="1" customHeight="1" outlineLevel="2" x14ac:dyDescent="0.3">
      <c r="A95" s="26"/>
      <c r="B95" s="12" t="str">
        <f>CONCATENATE("          ","6156"," - ","EMPLOYEE MEALS")</f>
        <v xml:space="preserve">          6156 - EMPLOYEE MEALS</v>
      </c>
      <c r="C95" s="12"/>
      <c r="D95" s="8">
        <v>961.69</v>
      </c>
      <c r="E95" s="3"/>
      <c r="F95" s="7">
        <f t="shared" si="12"/>
        <v>1.8070392700004049E-3</v>
      </c>
      <c r="G95" s="3"/>
      <c r="H95" s="8">
        <v>408.17</v>
      </c>
      <c r="I95" s="3"/>
      <c r="J95" s="7">
        <f t="shared" si="13"/>
        <v>3.3925054030990763E-3</v>
      </c>
      <c r="K95" s="3"/>
      <c r="L95" s="8">
        <f t="shared" si="14"/>
        <v>553.52</v>
      </c>
      <c r="M95" s="3"/>
      <c r="N95" s="7">
        <f t="shared" si="15"/>
        <v>1.3561016243231985</v>
      </c>
      <c r="O95" s="12"/>
      <c r="P95" s="8">
        <v>6355.97</v>
      </c>
      <c r="Q95" s="3"/>
      <c r="R95" s="7">
        <f t="shared" si="16"/>
        <v>2.2890040505371126E-3</v>
      </c>
      <c r="S95" s="3"/>
      <c r="T95" s="8">
        <v>3505.49</v>
      </c>
      <c r="U95" s="3"/>
      <c r="V95" s="7">
        <f t="shared" si="17"/>
        <v>2.6736440879073804E-3</v>
      </c>
      <c r="W95" s="3"/>
      <c r="X95" s="8">
        <f t="shared" si="18"/>
        <v>2850.4800000000005</v>
      </c>
      <c r="Y95" s="3"/>
      <c r="Z95" s="7">
        <f t="shared" si="19"/>
        <v>0.81314737739945075</v>
      </c>
    </row>
    <row r="96" spans="1:26" s="68" customFormat="1" ht="15" customHeight="1" outlineLevel="1" collapsed="1" x14ac:dyDescent="0.3">
      <c r="A96" s="25"/>
      <c r="B96" s="14" t="str">
        <f>CONCATENATE("     ","*Payroll                                          ")</f>
        <v xml:space="preserve">     *Payroll                                          </v>
      </c>
      <c r="C96" s="14"/>
      <c r="D96" s="2">
        <f>SUM(OSRRefD22_1x_0)</f>
        <v>77219.19</v>
      </c>
      <c r="E96" s="2"/>
      <c r="F96" s="6">
        <f t="shared" si="12"/>
        <v>0.14509676582643322</v>
      </c>
      <c r="G96" s="2"/>
      <c r="H96" s="2">
        <f>SUM(OSRRefH22_1x_0)</f>
        <v>37229.65</v>
      </c>
      <c r="I96" s="2"/>
      <c r="J96" s="6">
        <f t="shared" si="13"/>
        <v>0.3094342768466265</v>
      </c>
      <c r="K96" s="2"/>
      <c r="L96" s="2">
        <f t="shared" si="14"/>
        <v>39989.54</v>
      </c>
      <c r="M96" s="2"/>
      <c r="N96" s="6">
        <f t="shared" si="15"/>
        <v>1.0741315053995941</v>
      </c>
      <c r="O96" s="14"/>
      <c r="P96" s="2">
        <f>SUM(OSRRefP22_1x_0)</f>
        <v>514311.15</v>
      </c>
      <c r="Q96" s="2"/>
      <c r="R96" s="6">
        <f t="shared" si="16"/>
        <v>0.18522118663027048</v>
      </c>
      <c r="S96" s="2"/>
      <c r="T96" s="2">
        <f>SUM(OSRRefT22_1x_0)</f>
        <v>303652.44</v>
      </c>
      <c r="U96" s="2"/>
      <c r="V96" s="6">
        <f t="shared" si="17"/>
        <v>0.23159631063978234</v>
      </c>
      <c r="W96" s="2"/>
      <c r="X96" s="2">
        <f t="shared" si="18"/>
        <v>210658.71000000002</v>
      </c>
      <c r="Y96" s="2"/>
      <c r="Z96" s="6">
        <f t="shared" si="19"/>
        <v>0.69374943932609279</v>
      </c>
    </row>
    <row r="97" spans="1:26" s="69" customFormat="1" ht="15" hidden="1" customHeight="1" outlineLevel="2" x14ac:dyDescent="0.3">
      <c r="A97" s="26"/>
      <c r="B97" s="12" t="str">
        <f>CONCATENATE("          ","6002"," - ","STAFF SALARIES")</f>
        <v xml:space="preserve">          6002 - STAFF SALARIES</v>
      </c>
      <c r="C97" s="12"/>
      <c r="D97" s="8">
        <v>13696.08</v>
      </c>
      <c r="E97" s="3"/>
      <c r="F97" s="7">
        <f t="shared" si="12"/>
        <v>2.573527270229195E-2</v>
      </c>
      <c r="G97" s="3"/>
      <c r="H97" s="8">
        <v>18906.509999999998</v>
      </c>
      <c r="I97" s="3"/>
      <c r="J97" s="7">
        <f t="shared" si="13"/>
        <v>0.1571414786210322</v>
      </c>
      <c r="K97" s="3"/>
      <c r="L97" s="8">
        <f t="shared" si="14"/>
        <v>-5210.4299999999985</v>
      </c>
      <c r="M97" s="3"/>
      <c r="N97" s="7">
        <f t="shared" si="15"/>
        <v>-0.27558920181461299</v>
      </c>
      <c r="O97" s="12"/>
      <c r="P97" s="8">
        <v>132318.47</v>
      </c>
      <c r="Q97" s="3"/>
      <c r="R97" s="7">
        <f t="shared" si="16"/>
        <v>4.765244546322172E-2</v>
      </c>
      <c r="S97" s="3"/>
      <c r="T97" s="8">
        <v>145810.06</v>
      </c>
      <c r="U97" s="3"/>
      <c r="V97" s="7">
        <f t="shared" si="17"/>
        <v>0.11120961830626258</v>
      </c>
      <c r="W97" s="3"/>
      <c r="X97" s="8">
        <f t="shared" si="18"/>
        <v>-13491.589999999997</v>
      </c>
      <c r="Y97" s="3"/>
      <c r="Z97" s="7">
        <f t="shared" si="19"/>
        <v>-9.2528526495359767E-2</v>
      </c>
    </row>
    <row r="98" spans="1:26" s="69" customFormat="1" ht="15" hidden="1" customHeight="1" outlineLevel="2" x14ac:dyDescent="0.3">
      <c r="A98" s="26"/>
      <c r="B98" s="12" t="str">
        <f>CONCATENATE("          ","6004"," - ","STAFF HOURLY")</f>
        <v xml:space="preserve">          6004 - STAFF HOURLY</v>
      </c>
      <c r="C98" s="12"/>
      <c r="D98" s="8">
        <v>13957.01</v>
      </c>
      <c r="E98" s="3"/>
      <c r="F98" s="7">
        <f t="shared" si="12"/>
        <v>2.6225566618960736E-2</v>
      </c>
      <c r="G98" s="3"/>
      <c r="H98" s="8">
        <v>3620.72</v>
      </c>
      <c r="I98" s="3"/>
      <c r="J98" s="7">
        <f t="shared" si="13"/>
        <v>3.0093618254915567E-2</v>
      </c>
      <c r="K98" s="3"/>
      <c r="L98" s="8">
        <f t="shared" si="14"/>
        <v>10336.290000000001</v>
      </c>
      <c r="M98" s="3"/>
      <c r="N98" s="7">
        <f t="shared" si="15"/>
        <v>2.8547609315274314</v>
      </c>
      <c r="O98" s="12"/>
      <c r="P98" s="8">
        <v>73768.539999999994</v>
      </c>
      <c r="Q98" s="3"/>
      <c r="R98" s="7">
        <f t="shared" si="16"/>
        <v>2.6566595950296961E-2</v>
      </c>
      <c r="S98" s="3"/>
      <c r="T98" s="8">
        <v>49283.39</v>
      </c>
      <c r="U98" s="3"/>
      <c r="V98" s="7">
        <f t="shared" si="17"/>
        <v>3.7588538066157286E-2</v>
      </c>
      <c r="W98" s="3"/>
      <c r="X98" s="8">
        <f t="shared" si="18"/>
        <v>24485.149999999994</v>
      </c>
      <c r="Y98" s="3"/>
      <c r="Z98" s="7">
        <f t="shared" si="19"/>
        <v>0.49682357483931189</v>
      </c>
    </row>
    <row r="99" spans="1:26" s="69" customFormat="1" ht="15" hidden="1" customHeight="1" outlineLevel="2" x14ac:dyDescent="0.3">
      <c r="A99" s="26"/>
      <c r="B99" s="12" t="str">
        <f>CONCATENATE("          ","6005"," - ","TEMPORARY WAGES-HOURLY")</f>
        <v xml:space="preserve">          6005 - TEMPORARY WAGES-HOURLY</v>
      </c>
      <c r="C99" s="12"/>
      <c r="D99" s="8">
        <v>2583.6</v>
      </c>
      <c r="E99" s="3"/>
      <c r="F99" s="7">
        <f t="shared" si="12"/>
        <v>4.8546482317306464E-3</v>
      </c>
      <c r="G99" s="3"/>
      <c r="H99" s="8">
        <v>6204.5</v>
      </c>
      <c r="I99" s="3"/>
      <c r="J99" s="7">
        <f t="shared" si="13"/>
        <v>5.1568708561452875E-2</v>
      </c>
      <c r="K99" s="3"/>
      <c r="L99" s="8">
        <f t="shared" si="14"/>
        <v>-3620.9</v>
      </c>
      <c r="M99" s="3"/>
      <c r="N99" s="7">
        <f t="shared" si="15"/>
        <v>-0.58359255379160291</v>
      </c>
      <c r="O99" s="12"/>
      <c r="P99" s="8">
        <v>26997.93</v>
      </c>
      <c r="Q99" s="3"/>
      <c r="R99" s="7">
        <f t="shared" si="16"/>
        <v>9.7228859050809587E-3</v>
      </c>
      <c r="S99" s="3"/>
      <c r="T99" s="8">
        <v>43480.44</v>
      </c>
      <c r="U99" s="3"/>
      <c r="V99" s="7">
        <f t="shared" si="17"/>
        <v>3.3162616737064318E-2</v>
      </c>
      <c r="W99" s="3"/>
      <c r="X99" s="8">
        <f t="shared" si="18"/>
        <v>-16482.510000000002</v>
      </c>
      <c r="Y99" s="3"/>
      <c r="Z99" s="7">
        <f t="shared" si="19"/>
        <v>-0.37907873057402364</v>
      </c>
    </row>
    <row r="100" spans="1:26" s="69" customFormat="1" ht="15" hidden="1" customHeight="1" outlineLevel="2" x14ac:dyDescent="0.3">
      <c r="A100" s="26"/>
      <c r="B100" s="12" t="str">
        <f>CONCATENATE("          ","6006"," - ","TEMPORARY PART TIME")</f>
        <v xml:space="preserve">          6006 - TEMPORARY PART TIME</v>
      </c>
      <c r="C100" s="12"/>
      <c r="D100" s="8"/>
      <c r="E100" s="3"/>
      <c r="F100" s="7">
        <f t="shared" si="12"/>
        <v>0</v>
      </c>
      <c r="G100" s="3"/>
      <c r="H100" s="8">
        <v>1294.42</v>
      </c>
      <c r="I100" s="3"/>
      <c r="J100" s="7">
        <f t="shared" si="13"/>
        <v>1.075857325104615E-2</v>
      </c>
      <c r="K100" s="3"/>
      <c r="L100" s="8">
        <f t="shared" si="14"/>
        <v>-1294.42</v>
      </c>
      <c r="M100" s="3"/>
      <c r="N100" s="7">
        <f t="shared" si="15"/>
        <v>-1</v>
      </c>
      <c r="O100" s="12"/>
      <c r="P100" s="8"/>
      <c r="Q100" s="3"/>
      <c r="R100" s="7">
        <f t="shared" si="16"/>
        <v>0</v>
      </c>
      <c r="S100" s="3"/>
      <c r="T100" s="8">
        <v>1294.42</v>
      </c>
      <c r="U100" s="3"/>
      <c r="V100" s="7">
        <f t="shared" si="17"/>
        <v>9.8725666890194289E-4</v>
      </c>
      <c r="W100" s="3"/>
      <c r="X100" s="8">
        <f t="shared" si="18"/>
        <v>-1294.42</v>
      </c>
      <c r="Y100" s="3"/>
      <c r="Z100" s="7">
        <f t="shared" si="19"/>
        <v>-1</v>
      </c>
    </row>
    <row r="101" spans="1:26" s="69" customFormat="1" ht="15" hidden="1" customHeight="1" outlineLevel="2" x14ac:dyDescent="0.3">
      <c r="A101" s="26"/>
      <c r="B101" s="12" t="str">
        <f>CONCATENATE("          ","6007"," - ","STUDENT HOURLY")</f>
        <v xml:space="preserve">          6007 - STUDENT HOURLY</v>
      </c>
      <c r="C101" s="12"/>
      <c r="D101" s="8">
        <v>35078.5</v>
      </c>
      <c r="E101" s="3"/>
      <c r="F101" s="7">
        <f t="shared" si="12"/>
        <v>6.5913368167194425E-2</v>
      </c>
      <c r="G101" s="3"/>
      <c r="H101" s="8">
        <v>6364.48</v>
      </c>
      <c r="I101" s="3"/>
      <c r="J101" s="7">
        <f t="shared" si="13"/>
        <v>5.2898382507082856E-2</v>
      </c>
      <c r="K101" s="3"/>
      <c r="L101" s="8">
        <f t="shared" si="14"/>
        <v>28714.02</v>
      </c>
      <c r="M101" s="3"/>
      <c r="N101" s="7">
        <f t="shared" si="15"/>
        <v>4.5116050329327777</v>
      </c>
      <c r="O101" s="12"/>
      <c r="P101" s="8">
        <v>225435.32</v>
      </c>
      <c r="Q101" s="3"/>
      <c r="R101" s="7">
        <f t="shared" si="16"/>
        <v>8.1187035277720018E-2</v>
      </c>
      <c r="S101" s="3"/>
      <c r="T101" s="8">
        <v>57452.14</v>
      </c>
      <c r="U101" s="3"/>
      <c r="V101" s="7">
        <f t="shared" si="17"/>
        <v>4.3818859688268152E-2</v>
      </c>
      <c r="W101" s="3"/>
      <c r="X101" s="8">
        <f t="shared" si="18"/>
        <v>167983.18</v>
      </c>
      <c r="Y101" s="3"/>
      <c r="Z101" s="7">
        <f t="shared" si="19"/>
        <v>2.9238802941021866</v>
      </c>
    </row>
    <row r="102" spans="1:26" s="69" customFormat="1" ht="15" hidden="1" customHeight="1" outlineLevel="2" x14ac:dyDescent="0.3">
      <c r="A102" s="26"/>
      <c r="B102" s="12" t="str">
        <f>CONCATENATE("          ","6008"," - ","STUDENT HOURLY-FICA EXEMPT")</f>
        <v xml:space="preserve">          6008 - STUDENT HOURLY-FICA EXEMPT</v>
      </c>
      <c r="C102" s="12"/>
      <c r="D102" s="8">
        <v>11904</v>
      </c>
      <c r="E102" s="3"/>
      <c r="F102" s="7">
        <f t="shared" si="12"/>
        <v>2.2367910106255464E-2</v>
      </c>
      <c r="G102" s="3"/>
      <c r="H102" s="8">
        <v>839.02</v>
      </c>
      <c r="I102" s="3"/>
      <c r="J102" s="7">
        <f t="shared" si="13"/>
        <v>6.9735156510968149E-3</v>
      </c>
      <c r="K102" s="3"/>
      <c r="L102" s="8">
        <f t="shared" si="14"/>
        <v>11064.98</v>
      </c>
      <c r="M102" s="3"/>
      <c r="N102" s="7">
        <f t="shared" si="15"/>
        <v>13.187981216180782</v>
      </c>
      <c r="O102" s="12"/>
      <c r="P102" s="8">
        <v>55790.89</v>
      </c>
      <c r="Q102" s="3"/>
      <c r="R102" s="7">
        <f t="shared" si="16"/>
        <v>2.0092224033950831E-2</v>
      </c>
      <c r="S102" s="3"/>
      <c r="T102" s="8">
        <v>6331.99</v>
      </c>
      <c r="U102" s="3"/>
      <c r="V102" s="7">
        <f t="shared" si="17"/>
        <v>4.8294211731280514E-3</v>
      </c>
      <c r="W102" s="3"/>
      <c r="X102" s="8">
        <f t="shared" si="18"/>
        <v>49458.9</v>
      </c>
      <c r="Y102" s="3"/>
      <c r="Z102" s="7">
        <f t="shared" si="19"/>
        <v>7.810956745035921</v>
      </c>
    </row>
    <row r="103" spans="1:26" s="68" customFormat="1" ht="15" customHeight="1" outlineLevel="1" collapsed="1" x14ac:dyDescent="0.3">
      <c r="A103" s="25"/>
      <c r="B103" s="14" t="str">
        <f>CONCATENATE("     ","Advertising/Promo                                 ")</f>
        <v xml:space="preserve">     Advertising/Promo                                 </v>
      </c>
      <c r="C103" s="14"/>
      <c r="D103" s="2">
        <f>SUM(OSRRefD22_2x_0)</f>
        <v>316.10000000000002</v>
      </c>
      <c r="E103" s="2"/>
      <c r="F103" s="6">
        <f t="shared" si="12"/>
        <v>5.9395970972676013E-4</v>
      </c>
      <c r="G103" s="2"/>
      <c r="H103" s="2">
        <f>SUM(OSRRefH22_2x_0)</f>
        <v>114.65</v>
      </c>
      <c r="I103" s="2"/>
      <c r="J103" s="6">
        <f t="shared" si="13"/>
        <v>9.5291360086559307E-4</v>
      </c>
      <c r="K103" s="2"/>
      <c r="L103" s="2">
        <f t="shared" si="14"/>
        <v>201.45000000000002</v>
      </c>
      <c r="M103" s="2"/>
      <c r="N103" s="6">
        <f t="shared" si="15"/>
        <v>1.7570867858700394</v>
      </c>
      <c r="O103" s="14"/>
      <c r="P103" s="2">
        <f>SUM(OSRRefP22_2x_0)</f>
        <v>4351.49</v>
      </c>
      <c r="Q103" s="2"/>
      <c r="R103" s="6">
        <f t="shared" si="16"/>
        <v>1.5671216566270354E-3</v>
      </c>
      <c r="S103" s="2"/>
      <c r="T103" s="2">
        <f>SUM(OSRRefT22_2x_0)</f>
        <v>13799.52</v>
      </c>
      <c r="U103" s="2"/>
      <c r="V103" s="6">
        <f t="shared" si="17"/>
        <v>1.0524920928018525E-2</v>
      </c>
      <c r="W103" s="2"/>
      <c r="X103" s="2">
        <f t="shared" si="18"/>
        <v>-9448.0300000000007</v>
      </c>
      <c r="Y103" s="2"/>
      <c r="Z103" s="6">
        <f t="shared" si="19"/>
        <v>-0.6846636694609668</v>
      </c>
    </row>
    <row r="104" spans="1:26" s="69" customFormat="1" ht="15" hidden="1" customHeight="1" outlineLevel="2" x14ac:dyDescent="0.3">
      <c r="A104" s="26"/>
      <c r="B104" s="12" t="str">
        <f>CONCATENATE("          ","6362"," - ","ADVERTISING EXPENSE")</f>
        <v xml:space="preserve">          6362 - ADVERTISING EXPENSE</v>
      </c>
      <c r="C104" s="12"/>
      <c r="D104" s="8">
        <v>316.10000000000002</v>
      </c>
      <c r="E104" s="3"/>
      <c r="F104" s="7">
        <f t="shared" si="12"/>
        <v>5.9395970972676013E-4</v>
      </c>
      <c r="G104" s="3"/>
      <c r="H104" s="8">
        <v>114.65</v>
      </c>
      <c r="I104" s="3"/>
      <c r="J104" s="7">
        <f t="shared" si="13"/>
        <v>9.5291360086559307E-4</v>
      </c>
      <c r="K104" s="3"/>
      <c r="L104" s="8">
        <f t="shared" si="14"/>
        <v>201.45000000000002</v>
      </c>
      <c r="M104" s="3"/>
      <c r="N104" s="7">
        <f t="shared" si="15"/>
        <v>1.7570867858700394</v>
      </c>
      <c r="O104" s="12"/>
      <c r="P104" s="8">
        <v>4351.49</v>
      </c>
      <c r="Q104" s="3"/>
      <c r="R104" s="7">
        <f t="shared" si="16"/>
        <v>1.5671216566270354E-3</v>
      </c>
      <c r="S104" s="3"/>
      <c r="T104" s="8">
        <v>13799.52</v>
      </c>
      <c r="U104" s="3"/>
      <c r="V104" s="7">
        <f t="shared" si="17"/>
        <v>1.0524920928018525E-2</v>
      </c>
      <c r="W104" s="3"/>
      <c r="X104" s="8">
        <f t="shared" si="18"/>
        <v>-9448.0300000000007</v>
      </c>
      <c r="Y104" s="3"/>
      <c r="Z104" s="7">
        <f t="shared" si="19"/>
        <v>-0.6846636694609668</v>
      </c>
    </row>
    <row r="105" spans="1:26" s="68" customFormat="1" ht="15" customHeight="1" outlineLevel="1" collapsed="1" x14ac:dyDescent="0.3">
      <c r="A105" s="25"/>
      <c r="B105" s="14" t="str">
        <f>CONCATENATE("     ","Bad Debts/Over/Short                              ")</f>
        <v xml:space="preserve">     Bad Debts/Over/Short                              </v>
      </c>
      <c r="C105" s="14"/>
      <c r="D105" s="2">
        <f>SUM(OSRRefD22_3x_0)</f>
        <v>-20.02</v>
      </c>
      <c r="E105" s="2"/>
      <c r="F105" s="6">
        <f t="shared" si="12"/>
        <v>-3.7618074624263642E-5</v>
      </c>
      <c r="G105" s="2"/>
      <c r="H105" s="2">
        <f>SUM(OSRRefH22_3x_0)</f>
        <v>-1.1499999999999999</v>
      </c>
      <c r="I105" s="2"/>
      <c r="J105" s="6">
        <f t="shared" si="13"/>
        <v>-9.5582262624983163E-6</v>
      </c>
      <c r="K105" s="2"/>
      <c r="L105" s="2">
        <f t="shared" si="14"/>
        <v>-18.87</v>
      </c>
      <c r="M105" s="2"/>
      <c r="N105" s="6">
        <f t="shared" si="15"/>
        <v>16.408695652173915</v>
      </c>
      <c r="O105" s="14"/>
      <c r="P105" s="2">
        <f>SUM(OSRRefP22_3x_0)</f>
        <v>-33.4</v>
      </c>
      <c r="Q105" s="2"/>
      <c r="R105" s="6">
        <f t="shared" si="16"/>
        <v>-1.2028492155869134E-5</v>
      </c>
      <c r="S105" s="2"/>
      <c r="T105" s="2">
        <f>SUM(OSRRefT22_3x_0)</f>
        <v>-2.95</v>
      </c>
      <c r="U105" s="2"/>
      <c r="V105" s="6">
        <f t="shared" si="17"/>
        <v>-2.2499707770744667E-6</v>
      </c>
      <c r="W105" s="2"/>
      <c r="X105" s="2">
        <f t="shared" si="18"/>
        <v>-30.45</v>
      </c>
      <c r="Y105" s="2"/>
      <c r="Z105" s="6">
        <f t="shared" si="19"/>
        <v>10.322033898305083</v>
      </c>
    </row>
    <row r="106" spans="1:26" s="69" customFormat="1" ht="15" hidden="1" customHeight="1" outlineLevel="2" x14ac:dyDescent="0.3">
      <c r="A106" s="26"/>
      <c r="B106" s="12" t="str">
        <f>CONCATENATE("          ","6272"," - ","CASH (OVER/SHORT)")</f>
        <v xml:space="preserve">          6272 - CASH (OVER/SHORT)</v>
      </c>
      <c r="C106" s="12"/>
      <c r="D106" s="8">
        <v>-20.02</v>
      </c>
      <c r="E106" s="3"/>
      <c r="F106" s="7">
        <f t="shared" si="12"/>
        <v>-3.7618074624263642E-5</v>
      </c>
      <c r="G106" s="3"/>
      <c r="H106" s="8">
        <v>-1.1499999999999999</v>
      </c>
      <c r="I106" s="3"/>
      <c r="J106" s="7">
        <f t="shared" si="13"/>
        <v>-9.5582262624983163E-6</v>
      </c>
      <c r="K106" s="3"/>
      <c r="L106" s="8">
        <f t="shared" si="14"/>
        <v>-18.87</v>
      </c>
      <c r="M106" s="3"/>
      <c r="N106" s="7">
        <f t="shared" si="15"/>
        <v>16.408695652173915</v>
      </c>
      <c r="O106" s="12"/>
      <c r="P106" s="8">
        <v>-33.4</v>
      </c>
      <c r="Q106" s="3"/>
      <c r="R106" s="7">
        <f t="shared" si="16"/>
        <v>-1.2028492155869134E-5</v>
      </c>
      <c r="S106" s="3"/>
      <c r="T106" s="8">
        <v>-2.95</v>
      </c>
      <c r="U106" s="3"/>
      <c r="V106" s="7">
        <f t="shared" si="17"/>
        <v>-2.2499707770744667E-6</v>
      </c>
      <c r="W106" s="3"/>
      <c r="X106" s="8">
        <f t="shared" si="18"/>
        <v>-30.45</v>
      </c>
      <c r="Y106" s="3"/>
      <c r="Z106" s="7">
        <f t="shared" si="19"/>
        <v>10.322033898305083</v>
      </c>
    </row>
    <row r="107" spans="1:26" s="68" customFormat="1" ht="15" customHeight="1" outlineLevel="1" collapsed="1" x14ac:dyDescent="0.3">
      <c r="A107" s="25"/>
      <c r="B107" s="14" t="str">
        <f>CONCATENATE("     ","Bank/card Fees                                    ")</f>
        <v xml:space="preserve">     Bank/card Fees                                    </v>
      </c>
      <c r="C107" s="14"/>
      <c r="D107" s="2">
        <f>SUM(OSRRefD22_4x_0)</f>
        <v>452.13</v>
      </c>
      <c r="E107" s="2"/>
      <c r="F107" s="6">
        <f t="shared" si="12"/>
        <v>8.4956344055286319E-4</v>
      </c>
      <c r="G107" s="2"/>
      <c r="H107" s="2">
        <f>SUM(OSRRefH22_4x_0)</f>
        <v>308.72000000000003</v>
      </c>
      <c r="I107" s="2"/>
      <c r="J107" s="6">
        <f t="shared" si="13"/>
        <v>2.565926618920418E-3</v>
      </c>
      <c r="K107" s="2"/>
      <c r="L107" s="2">
        <f t="shared" si="14"/>
        <v>143.40999999999997</v>
      </c>
      <c r="M107" s="2"/>
      <c r="N107" s="6">
        <f t="shared" si="15"/>
        <v>0.46453096657165055</v>
      </c>
      <c r="O107" s="14"/>
      <c r="P107" s="2">
        <f>SUM(OSRRefP22_4x_0)</f>
        <v>4266.21</v>
      </c>
      <c r="Q107" s="2"/>
      <c r="R107" s="6">
        <f t="shared" si="16"/>
        <v>1.5364093868350439E-3</v>
      </c>
      <c r="S107" s="2"/>
      <c r="T107" s="2">
        <f>SUM(OSRRefT22_4x_0)</f>
        <v>2867.73</v>
      </c>
      <c r="U107" s="2"/>
      <c r="V107" s="6">
        <f t="shared" si="17"/>
        <v>2.1872232869626306E-3</v>
      </c>
      <c r="W107" s="2"/>
      <c r="X107" s="2">
        <f t="shared" si="18"/>
        <v>1398.48</v>
      </c>
      <c r="Y107" s="2"/>
      <c r="Z107" s="6">
        <f t="shared" si="19"/>
        <v>0.48766097226726368</v>
      </c>
    </row>
    <row r="108" spans="1:26" s="69" customFormat="1" ht="15" hidden="1" customHeight="1" outlineLevel="2" x14ac:dyDescent="0.3">
      <c r="A108" s="26"/>
      <c r="B108" s="12" t="str">
        <f>CONCATENATE("          ","6381"," - ","BANK/CREDIT CARD FEES")</f>
        <v xml:space="preserve">          6381 - BANK/CREDIT CARD FEES</v>
      </c>
      <c r="C108" s="12"/>
      <c r="D108" s="8">
        <v>452.13</v>
      </c>
      <c r="E108" s="3"/>
      <c r="F108" s="7">
        <f t="shared" si="12"/>
        <v>8.4956344055286319E-4</v>
      </c>
      <c r="G108" s="3"/>
      <c r="H108" s="8">
        <v>308.72000000000003</v>
      </c>
      <c r="I108" s="3"/>
      <c r="J108" s="7">
        <f t="shared" si="13"/>
        <v>2.565926618920418E-3</v>
      </c>
      <c r="K108" s="3"/>
      <c r="L108" s="8">
        <f t="shared" si="14"/>
        <v>143.40999999999997</v>
      </c>
      <c r="M108" s="3"/>
      <c r="N108" s="7">
        <f t="shared" si="15"/>
        <v>0.46453096657165055</v>
      </c>
      <c r="O108" s="12"/>
      <c r="P108" s="8">
        <v>4266.21</v>
      </c>
      <c r="Q108" s="3"/>
      <c r="R108" s="7">
        <f t="shared" si="16"/>
        <v>1.5364093868350439E-3</v>
      </c>
      <c r="S108" s="3"/>
      <c r="T108" s="8">
        <v>2867.73</v>
      </c>
      <c r="U108" s="3"/>
      <c r="V108" s="7">
        <f t="shared" si="17"/>
        <v>2.1872232869626306E-3</v>
      </c>
      <c r="W108" s="3"/>
      <c r="X108" s="8">
        <f t="shared" si="18"/>
        <v>1398.48</v>
      </c>
      <c r="Y108" s="3"/>
      <c r="Z108" s="7">
        <f t="shared" si="19"/>
        <v>0.48766097226726368</v>
      </c>
    </row>
    <row r="109" spans="1:26" s="68" customFormat="1" ht="15" customHeight="1" outlineLevel="1" collapsed="1" x14ac:dyDescent="0.3">
      <c r="A109" s="25"/>
      <c r="B109" s="14" t="str">
        <f>CONCATENATE("     ","Discounts and Markdowns                           ")</f>
        <v xml:space="preserve">     Discounts and Markdowns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0</v>
      </c>
      <c r="Q109" s="2"/>
      <c r="R109" s="6">
        <f t="shared" si="16"/>
        <v>0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0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6"/>
      <c r="B110" s="12" t="str">
        <f>CONCATENATE("          ","6382"," - ","DISCOUNTS/MARK DOWNS")</f>
        <v xml:space="preserve">          6382 - DISCOUNTS/MARK DOWNS</v>
      </c>
      <c r="C110" s="12"/>
      <c r="D110" s="8"/>
      <c r="E110" s="3"/>
      <c r="F110" s="7">
        <f t="shared" si="12"/>
        <v>0</v>
      </c>
      <c r="G110" s="3"/>
      <c r="H110" s="8">
        <v>0</v>
      </c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/>
      <c r="Q110" s="3"/>
      <c r="R110" s="7">
        <f t="shared" si="16"/>
        <v>0</v>
      </c>
      <c r="S110" s="3"/>
      <c r="T110" s="8">
        <v>0</v>
      </c>
      <c r="U110" s="3"/>
      <c r="V110" s="7">
        <f t="shared" si="17"/>
        <v>0</v>
      </c>
      <c r="W110" s="3"/>
      <c r="X110" s="8">
        <f t="shared" si="18"/>
        <v>0</v>
      </c>
      <c r="Y110" s="3"/>
      <c r="Z110" s="7">
        <f t="shared" si="19"/>
        <v>0</v>
      </c>
    </row>
    <row r="111" spans="1:26" s="69" customFormat="1" ht="15" hidden="1" customHeight="1" outlineLevel="2" x14ac:dyDescent="0.3">
      <c r="A111" s="26"/>
      <c r="B111" s="12" t="str">
        <f>CONCATENATE("          ","9175"," - ","EARNED DISCOUNTS")</f>
        <v xml:space="preserve">          9175 - EARNED DISCOUNTS</v>
      </c>
      <c r="C111" s="12"/>
      <c r="D111" s="8"/>
      <c r="E111" s="3"/>
      <c r="F111" s="7">
        <f t="shared" si="12"/>
        <v>0</v>
      </c>
      <c r="G111" s="3"/>
      <c r="H111" s="8"/>
      <c r="I111" s="3"/>
      <c r="J111" s="7">
        <f t="shared" si="13"/>
        <v>0</v>
      </c>
      <c r="K111" s="3"/>
      <c r="L111" s="8">
        <f t="shared" si="14"/>
        <v>0</v>
      </c>
      <c r="M111" s="3"/>
      <c r="N111" s="7">
        <f t="shared" si="15"/>
        <v>0</v>
      </c>
      <c r="O111" s="12"/>
      <c r="P111" s="8">
        <v>0</v>
      </c>
      <c r="Q111" s="3"/>
      <c r="R111" s="7">
        <f t="shared" si="16"/>
        <v>0</v>
      </c>
      <c r="S111" s="3"/>
      <c r="T111" s="8"/>
      <c r="U111" s="3"/>
      <c r="V111" s="7">
        <f t="shared" si="17"/>
        <v>0</v>
      </c>
      <c r="W111" s="3"/>
      <c r="X111" s="8">
        <f t="shared" si="18"/>
        <v>0</v>
      </c>
      <c r="Y111" s="3"/>
      <c r="Z111" s="7">
        <f t="shared" si="19"/>
        <v>0</v>
      </c>
    </row>
    <row r="112" spans="1:26" s="68" customFormat="1" ht="15" customHeight="1" outlineLevel="1" collapsed="1" x14ac:dyDescent="0.3">
      <c r="A112" s="25"/>
      <c r="B112" s="14" t="str">
        <f>CONCATENATE("     ","Employees' Appreciation                           ")</f>
        <v xml:space="preserve">     Employees' Appreciation                           </v>
      </c>
      <c r="C112" s="14"/>
      <c r="D112" s="2">
        <f>SUM(OSRRefD22_6x_0)</f>
        <v>0</v>
      </c>
      <c r="E112" s="2"/>
      <c r="F112" s="6">
        <f t="shared" si="12"/>
        <v>0</v>
      </c>
      <c r="G112" s="2"/>
      <c r="H112" s="2">
        <f>SUM(OSRRefH22_6x_0)</f>
        <v>0</v>
      </c>
      <c r="I112" s="2"/>
      <c r="J112" s="6">
        <f t="shared" si="13"/>
        <v>0</v>
      </c>
      <c r="K112" s="2"/>
      <c r="L112" s="2">
        <f t="shared" si="14"/>
        <v>0</v>
      </c>
      <c r="M112" s="2"/>
      <c r="N112" s="6">
        <f t="shared" si="15"/>
        <v>0</v>
      </c>
      <c r="O112" s="14"/>
      <c r="P112" s="2">
        <f>SUM(OSRRefP22_6x_0)</f>
        <v>216.44</v>
      </c>
      <c r="Q112" s="2"/>
      <c r="R112" s="6">
        <f t="shared" si="16"/>
        <v>7.7947510245997476E-5</v>
      </c>
      <c r="S112" s="2"/>
      <c r="T112" s="2">
        <f>SUM(OSRRefT22_6x_0)</f>
        <v>0</v>
      </c>
      <c r="U112" s="2"/>
      <c r="V112" s="6">
        <f t="shared" si="17"/>
        <v>0</v>
      </c>
      <c r="W112" s="2"/>
      <c r="X112" s="2">
        <f t="shared" si="18"/>
        <v>216.44</v>
      </c>
      <c r="Y112" s="2"/>
      <c r="Z112" s="6">
        <f t="shared" si="19"/>
        <v>0</v>
      </c>
    </row>
    <row r="113" spans="1:26" s="69" customFormat="1" ht="15" hidden="1" customHeight="1" outlineLevel="2" x14ac:dyDescent="0.3">
      <c r="A113" s="26"/>
      <c r="B113" s="12" t="str">
        <f>CONCATENATE("          ","6277"," - ","EMPLOYEE APPRECIATION")</f>
        <v xml:space="preserve">          6277 - EMPLOYEE APPRECIATION</v>
      </c>
      <c r="C113" s="12"/>
      <c r="D113" s="8"/>
      <c r="E113" s="3"/>
      <c r="F113" s="7">
        <f t="shared" si="12"/>
        <v>0</v>
      </c>
      <c r="G113" s="3"/>
      <c r="H113" s="8"/>
      <c r="I113" s="3"/>
      <c r="J113" s="7">
        <f t="shared" si="13"/>
        <v>0</v>
      </c>
      <c r="K113" s="3"/>
      <c r="L113" s="8">
        <f t="shared" si="14"/>
        <v>0</v>
      </c>
      <c r="M113" s="3"/>
      <c r="N113" s="7">
        <f t="shared" si="15"/>
        <v>0</v>
      </c>
      <c r="O113" s="12"/>
      <c r="P113" s="8">
        <v>216.44</v>
      </c>
      <c r="Q113" s="3"/>
      <c r="R113" s="7">
        <f t="shared" si="16"/>
        <v>7.7947510245997476E-5</v>
      </c>
      <c r="S113" s="3"/>
      <c r="T113" s="8"/>
      <c r="U113" s="3"/>
      <c r="V113" s="7">
        <f t="shared" si="17"/>
        <v>0</v>
      </c>
      <c r="W113" s="3"/>
      <c r="X113" s="8">
        <f t="shared" si="18"/>
        <v>216.44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5"/>
      <c r="B114" s="14" t="str">
        <f>CONCATENATE("     ","Equipment Rental                                  ")</f>
        <v xml:space="preserve">     Equipment Rental                                  </v>
      </c>
      <c r="C114" s="14"/>
      <c r="D114" s="2">
        <f>SUM(OSRRefD22_7x_0)</f>
        <v>0</v>
      </c>
      <c r="E114" s="2"/>
      <c r="F114" s="6">
        <f t="shared" si="12"/>
        <v>0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SUM(OSRRefP22_7x_0)</f>
        <v>118.91</v>
      </c>
      <c r="Q114" s="2"/>
      <c r="R114" s="6">
        <f t="shared" si="16"/>
        <v>4.2823592881868227E-5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118.91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","6351"," - ","EQUIPMENT RENTAL")</f>
        <v xml:space="preserve">          6351 - EQUIPMENT RENTAL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118.91</v>
      </c>
      <c r="Q115" s="3"/>
      <c r="R115" s="7">
        <f t="shared" si="16"/>
        <v>4.2823592881868227E-5</v>
      </c>
      <c r="S115" s="3"/>
      <c r="T115" s="8"/>
      <c r="U115" s="3"/>
      <c r="V115" s="7">
        <f t="shared" si="17"/>
        <v>0</v>
      </c>
      <c r="W115" s="3"/>
      <c r="X115" s="8">
        <f t="shared" si="18"/>
        <v>118.91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","Freight out/Postage                               ")</f>
        <v xml:space="preserve">     Freight out/Postage                               </v>
      </c>
      <c r="C116" s="14"/>
      <c r="D116" s="2">
        <f>SUM(OSRRefD22_8x_0)</f>
        <v>0</v>
      </c>
      <c r="E116" s="2"/>
      <c r="F116" s="6">
        <f t="shared" si="12"/>
        <v>0</v>
      </c>
      <c r="G116" s="2"/>
      <c r="H116" s="2">
        <f>SUM(OSRRefH22_8x_0)</f>
        <v>52.110000000000007</v>
      </c>
      <c r="I116" s="2"/>
      <c r="J116" s="6">
        <f t="shared" si="13"/>
        <v>4.3311232220764114E-4</v>
      </c>
      <c r="K116" s="2"/>
      <c r="L116" s="2">
        <f t="shared" si="14"/>
        <v>-52.110000000000007</v>
      </c>
      <c r="M116" s="2"/>
      <c r="N116" s="6">
        <f t="shared" si="15"/>
        <v>-1</v>
      </c>
      <c r="O116" s="14"/>
      <c r="P116" s="2">
        <f>SUM(OSRRefP22_8x_0)</f>
        <v>929.29</v>
      </c>
      <c r="Q116" s="2"/>
      <c r="R116" s="6">
        <f t="shared" si="16"/>
        <v>3.3466938549483918E-4</v>
      </c>
      <c r="S116" s="2"/>
      <c r="T116" s="2">
        <f>SUM(OSRRefT22_8x_0)</f>
        <v>286.53000000000003</v>
      </c>
      <c r="U116" s="2"/>
      <c r="V116" s="6">
        <f t="shared" si="17"/>
        <v>2.1853699212038882E-4</v>
      </c>
      <c r="W116" s="2"/>
      <c r="X116" s="2">
        <f t="shared" si="18"/>
        <v>642.76</v>
      </c>
      <c r="Y116" s="2"/>
      <c r="Z116" s="6">
        <f t="shared" si="19"/>
        <v>2.2432555055317067</v>
      </c>
    </row>
    <row r="117" spans="1:26" s="69" customFormat="1" ht="15" hidden="1" customHeight="1" outlineLevel="2" x14ac:dyDescent="0.3">
      <c r="A117" s="26"/>
      <c r="B117" s="12" t="str">
        <f>CONCATENATE("          ","6305"," - ","FREIGHT OUT")</f>
        <v xml:space="preserve">          6305 - FREIGHT OUT</v>
      </c>
      <c r="C117" s="12"/>
      <c r="D117" s="8"/>
      <c r="E117" s="3"/>
      <c r="F117" s="7">
        <f t="shared" si="12"/>
        <v>0</v>
      </c>
      <c r="G117" s="3"/>
      <c r="H117" s="8">
        <v>66.260000000000005</v>
      </c>
      <c r="I117" s="3"/>
      <c r="J117" s="7">
        <f t="shared" si="13"/>
        <v>5.5072006274185954E-4</v>
      </c>
      <c r="K117" s="3"/>
      <c r="L117" s="8">
        <f t="shared" si="14"/>
        <v>-66.260000000000005</v>
      </c>
      <c r="M117" s="3"/>
      <c r="N117" s="7">
        <f t="shared" si="15"/>
        <v>-1</v>
      </c>
      <c r="O117" s="12"/>
      <c r="P117" s="8">
        <v>893.87</v>
      </c>
      <c r="Q117" s="3"/>
      <c r="R117" s="7">
        <f t="shared" si="16"/>
        <v>3.2191342165768696E-4</v>
      </c>
      <c r="S117" s="3"/>
      <c r="T117" s="8">
        <v>306.68</v>
      </c>
      <c r="U117" s="3"/>
      <c r="V117" s="7">
        <f t="shared" si="17"/>
        <v>2.3390543658074491E-4</v>
      </c>
      <c r="W117" s="3"/>
      <c r="X117" s="8">
        <f t="shared" si="18"/>
        <v>587.19000000000005</v>
      </c>
      <c r="Y117" s="3"/>
      <c r="Z117" s="7">
        <f t="shared" si="19"/>
        <v>1.914666753619408</v>
      </c>
    </row>
    <row r="118" spans="1:26" s="69" customFormat="1" ht="15" hidden="1" customHeight="1" outlineLevel="2" x14ac:dyDescent="0.3">
      <c r="A118" s="26"/>
      <c r="B118" s="12" t="str">
        <f>CONCATENATE("          ","6307"," - ","POSTAGE")</f>
        <v xml:space="preserve">          6307 - POSTAGE</v>
      </c>
      <c r="C118" s="12"/>
      <c r="D118" s="8"/>
      <c r="E118" s="3"/>
      <c r="F118" s="7">
        <f t="shared" ref="F118:F149" si="20">IF(D$12=0,0,D118/D$12)</f>
        <v>0</v>
      </c>
      <c r="G118" s="3"/>
      <c r="H118" s="8">
        <v>-14.15</v>
      </c>
      <c r="I118" s="3"/>
      <c r="J118" s="7">
        <f t="shared" ref="J118:J149" si="21">IF(H$12=0,0,H118/H$12)</f>
        <v>-1.1760774053421842E-4</v>
      </c>
      <c r="K118" s="3"/>
      <c r="L118" s="8">
        <f t="shared" ref="L118:L149" si="22">+D118-H118</f>
        <v>14.15</v>
      </c>
      <c r="M118" s="3"/>
      <c r="N118" s="7">
        <f t="shared" ref="N118:N149" si="23">IF(H118=0,0,L118/H118)</f>
        <v>-1</v>
      </c>
      <c r="O118" s="12"/>
      <c r="P118" s="8">
        <v>35.42</v>
      </c>
      <c r="Q118" s="3"/>
      <c r="R118" s="7">
        <f t="shared" ref="R118:R149" si="24">IF(P$12=0,0,P118/P$12)</f>
        <v>1.275596383715224E-5</v>
      </c>
      <c r="S118" s="3"/>
      <c r="T118" s="8">
        <v>-20.149999999999999</v>
      </c>
      <c r="U118" s="3"/>
      <c r="V118" s="7">
        <f t="shared" ref="V118:V149" si="25">IF(T$12=0,0,T118/T$12)</f>
        <v>-1.5368444460356102E-5</v>
      </c>
      <c r="W118" s="3"/>
      <c r="X118" s="8">
        <f t="shared" ref="X118:X149" si="26">+P118-T118</f>
        <v>55.57</v>
      </c>
      <c r="Y118" s="3"/>
      <c r="Z118" s="7">
        <f t="shared" ref="Z118:Z149" si="27">IF(T118=0,0,X118/T118)</f>
        <v>-2.7578163771712161</v>
      </c>
    </row>
    <row r="119" spans="1:26" s="68" customFormat="1" ht="15" customHeight="1" outlineLevel="1" collapsed="1" x14ac:dyDescent="0.3">
      <c r="A119" s="25"/>
      <c r="B119" s="14" t="str">
        <f>CONCATENATE("     ","General                                           ")</f>
        <v xml:space="preserve">     General                                           </v>
      </c>
      <c r="C119" s="14"/>
      <c r="D119" s="2">
        <f>SUM(OSRRefD22_9x_0)</f>
        <v>1157.1099999999999</v>
      </c>
      <c r="E119" s="2"/>
      <c r="F119" s="6">
        <f t="shared" si="20"/>
        <v>2.1742382781459392E-3</v>
      </c>
      <c r="G119" s="2"/>
      <c r="H119" s="2">
        <f>SUM(OSRRefH22_9x_0)</f>
        <v>0</v>
      </c>
      <c r="I119" s="2"/>
      <c r="J119" s="6">
        <f t="shared" si="21"/>
        <v>0</v>
      </c>
      <c r="K119" s="2"/>
      <c r="L119" s="2">
        <f t="shared" si="22"/>
        <v>1157.1099999999999</v>
      </c>
      <c r="M119" s="2"/>
      <c r="N119" s="6">
        <f t="shared" si="23"/>
        <v>0</v>
      </c>
      <c r="O119" s="14"/>
      <c r="P119" s="2">
        <f>SUM(OSRRefP22_9x_0)</f>
        <v>2452.1999999999998</v>
      </c>
      <c r="Q119" s="2"/>
      <c r="R119" s="6">
        <f t="shared" si="24"/>
        <v>8.8312181031803267E-4</v>
      </c>
      <c r="S119" s="2"/>
      <c r="T119" s="2">
        <f>SUM(OSRRefT22_9x_0)</f>
        <v>1285.46</v>
      </c>
      <c r="U119" s="2"/>
      <c r="V119" s="6">
        <f t="shared" si="25"/>
        <v>9.8042285935530317E-4</v>
      </c>
      <c r="W119" s="2"/>
      <c r="X119" s="2">
        <f t="shared" si="26"/>
        <v>1166.7399999999998</v>
      </c>
      <c r="Y119" s="2"/>
      <c r="Z119" s="6">
        <f t="shared" si="27"/>
        <v>0.90764395624912464</v>
      </c>
    </row>
    <row r="120" spans="1:26" s="69" customFormat="1" ht="15" hidden="1" customHeight="1" outlineLevel="2" x14ac:dyDescent="0.3">
      <c r="A120" s="26"/>
      <c r="B120" s="12" t="str">
        <f>CONCATENATE("          ","6279"," - ","GENERAL EXPENSE")</f>
        <v xml:space="preserve">          6279 - GENERAL EXPENSE</v>
      </c>
      <c r="C120" s="12"/>
      <c r="D120" s="8">
        <v>1157.1099999999999</v>
      </c>
      <c r="E120" s="3"/>
      <c r="F120" s="7">
        <f t="shared" si="20"/>
        <v>2.1742382781459392E-3</v>
      </c>
      <c r="G120" s="3"/>
      <c r="H120" s="8"/>
      <c r="I120" s="3"/>
      <c r="J120" s="7">
        <f t="shared" si="21"/>
        <v>0</v>
      </c>
      <c r="K120" s="3"/>
      <c r="L120" s="8">
        <f t="shared" si="22"/>
        <v>1157.1099999999999</v>
      </c>
      <c r="M120" s="3"/>
      <c r="N120" s="7">
        <f t="shared" si="23"/>
        <v>0</v>
      </c>
      <c r="O120" s="12"/>
      <c r="P120" s="8">
        <v>2452.1999999999998</v>
      </c>
      <c r="Q120" s="3"/>
      <c r="R120" s="7">
        <f t="shared" si="24"/>
        <v>8.8312181031803267E-4</v>
      </c>
      <c r="S120" s="3"/>
      <c r="T120" s="8">
        <v>1285.46</v>
      </c>
      <c r="U120" s="3"/>
      <c r="V120" s="7">
        <f t="shared" si="25"/>
        <v>9.8042285935530317E-4</v>
      </c>
      <c r="W120" s="3"/>
      <c r="X120" s="8">
        <f t="shared" si="26"/>
        <v>1166.7399999999998</v>
      </c>
      <c r="Y120" s="3"/>
      <c r="Z120" s="7">
        <f t="shared" si="27"/>
        <v>0.90764395624912464</v>
      </c>
    </row>
    <row r="121" spans="1:26" s="68" customFormat="1" ht="15" customHeight="1" outlineLevel="1" collapsed="1" x14ac:dyDescent="0.3">
      <c r="A121" s="25"/>
      <c r="B121" s="14" t="str">
        <f>CONCATENATE("     ","Insurance                                         ")</f>
        <v xml:space="preserve">     Insurance                                         </v>
      </c>
      <c r="C121" s="14"/>
      <c r="D121" s="2">
        <f>SUM(OSRRefD22_10x_0)</f>
        <v>219.08</v>
      </c>
      <c r="E121" s="2"/>
      <c r="F121" s="6">
        <f t="shared" si="20"/>
        <v>4.1165673270148248E-4</v>
      </c>
      <c r="G121" s="2"/>
      <c r="H121" s="2">
        <f>SUM(OSRRefH22_10x_0)</f>
        <v>161.18</v>
      </c>
      <c r="I121" s="2"/>
      <c r="J121" s="6">
        <f t="shared" si="21"/>
        <v>1.3396477469473729E-3</v>
      </c>
      <c r="K121" s="2"/>
      <c r="L121" s="2">
        <f t="shared" si="22"/>
        <v>57.900000000000006</v>
      </c>
      <c r="M121" s="2"/>
      <c r="N121" s="6">
        <f t="shared" si="23"/>
        <v>0.35922571038590395</v>
      </c>
      <c r="O121" s="14"/>
      <c r="P121" s="2">
        <f>SUM(OSRRefP22_10x_0)</f>
        <v>1752.64</v>
      </c>
      <c r="Q121" s="2"/>
      <c r="R121" s="6">
        <f t="shared" si="24"/>
        <v>6.311861225168408E-4</v>
      </c>
      <c r="S121" s="2"/>
      <c r="T121" s="2">
        <f>SUM(OSRRefT22_10x_0)</f>
        <v>1289.44</v>
      </c>
      <c r="U121" s="2"/>
      <c r="V121" s="6">
        <f t="shared" si="25"/>
        <v>9.8345841314945778E-4</v>
      </c>
      <c r="W121" s="2"/>
      <c r="X121" s="2">
        <f t="shared" si="26"/>
        <v>463.20000000000005</v>
      </c>
      <c r="Y121" s="2"/>
      <c r="Z121" s="6">
        <f t="shared" si="27"/>
        <v>0.35922571038590395</v>
      </c>
    </row>
    <row r="122" spans="1:26" s="69" customFormat="1" ht="15" hidden="1" customHeight="1" outlineLevel="2" x14ac:dyDescent="0.3">
      <c r="A122" s="26"/>
      <c r="B122" s="12" t="str">
        <f>CONCATENATE("          ","6314"," - ","LIABILITY INSURANCE")</f>
        <v xml:space="preserve">          6314 - LIABILITY INSURANCE</v>
      </c>
      <c r="C122" s="12"/>
      <c r="D122" s="8">
        <v>219.08</v>
      </c>
      <c r="E122" s="3"/>
      <c r="F122" s="7">
        <f t="shared" si="20"/>
        <v>4.1165673270148248E-4</v>
      </c>
      <c r="G122" s="3"/>
      <c r="H122" s="8">
        <v>161.18</v>
      </c>
      <c r="I122" s="3"/>
      <c r="J122" s="7">
        <f t="shared" si="21"/>
        <v>1.3396477469473729E-3</v>
      </c>
      <c r="K122" s="3"/>
      <c r="L122" s="8">
        <f t="shared" si="22"/>
        <v>57.900000000000006</v>
      </c>
      <c r="M122" s="3"/>
      <c r="N122" s="7">
        <f t="shared" si="23"/>
        <v>0.35922571038590395</v>
      </c>
      <c r="O122" s="12"/>
      <c r="P122" s="8">
        <v>1752.64</v>
      </c>
      <c r="Q122" s="3"/>
      <c r="R122" s="7">
        <f t="shared" si="24"/>
        <v>6.311861225168408E-4</v>
      </c>
      <c r="S122" s="3"/>
      <c r="T122" s="8">
        <v>1289.44</v>
      </c>
      <c r="U122" s="3"/>
      <c r="V122" s="7">
        <f t="shared" si="25"/>
        <v>9.8345841314945778E-4</v>
      </c>
      <c r="W122" s="3"/>
      <c r="X122" s="8">
        <f t="shared" si="26"/>
        <v>463.20000000000005</v>
      </c>
      <c r="Y122" s="3"/>
      <c r="Z122" s="7">
        <f t="shared" si="27"/>
        <v>0.35922571038590395</v>
      </c>
    </row>
    <row r="123" spans="1:26" s="68" customFormat="1" ht="15" customHeight="1" outlineLevel="1" collapsed="1" x14ac:dyDescent="0.3">
      <c r="A123" s="25"/>
      <c r="B123" s="14" t="str">
        <f>CONCATENATE("     ","Inventory Adjustment                              ")</f>
        <v xml:space="preserve">     Inventory Adjustment                              </v>
      </c>
      <c r="C123" s="14"/>
      <c r="D123" s="2">
        <f>SUM(OSRRefD22_11x_0)</f>
        <v>3450</v>
      </c>
      <c r="E123" s="2"/>
      <c r="F123" s="6">
        <f t="shared" si="20"/>
        <v>6.4826352374480305E-3</v>
      </c>
      <c r="G123" s="2"/>
      <c r="H123" s="2">
        <f>SUM(OSRRefH22_11x_0)</f>
        <v>1100</v>
      </c>
      <c r="I123" s="2"/>
      <c r="J123" s="6">
        <f t="shared" si="21"/>
        <v>9.1426512076070859E-3</v>
      </c>
      <c r="K123" s="2"/>
      <c r="L123" s="2">
        <f t="shared" si="22"/>
        <v>2350</v>
      </c>
      <c r="M123" s="2"/>
      <c r="N123" s="6">
        <f t="shared" si="23"/>
        <v>2.1363636363636362</v>
      </c>
      <c r="O123" s="14"/>
      <c r="P123" s="2">
        <f>SUM(OSRRefP22_11x_0)</f>
        <v>27600</v>
      </c>
      <c r="Q123" s="2"/>
      <c r="R123" s="6">
        <f t="shared" si="24"/>
        <v>9.939712080897849E-3</v>
      </c>
      <c r="S123" s="2"/>
      <c r="T123" s="2">
        <f>SUM(OSRRefT22_11x_0)</f>
        <v>8800</v>
      </c>
      <c r="U123" s="2"/>
      <c r="V123" s="6">
        <f t="shared" si="25"/>
        <v>6.7117772333068837E-3</v>
      </c>
      <c r="W123" s="2"/>
      <c r="X123" s="2">
        <f t="shared" si="26"/>
        <v>18800</v>
      </c>
      <c r="Y123" s="2"/>
      <c r="Z123" s="6">
        <f t="shared" si="27"/>
        <v>2.1363636363636362</v>
      </c>
    </row>
    <row r="124" spans="1:26" s="69" customFormat="1" ht="15" hidden="1" customHeight="1" outlineLevel="2" x14ac:dyDescent="0.3">
      <c r="A124" s="26"/>
      <c r="B124" s="12" t="str">
        <f>CONCATENATE("          ","6408"," - ","INVENTORY ADJUSTMENT")</f>
        <v xml:space="preserve">          6408 - INVENTORY ADJUSTMENT</v>
      </c>
      <c r="C124" s="12"/>
      <c r="D124" s="8">
        <v>3450</v>
      </c>
      <c r="E124" s="3"/>
      <c r="F124" s="7">
        <f t="shared" si="20"/>
        <v>6.4826352374480305E-3</v>
      </c>
      <c r="G124" s="3"/>
      <c r="H124" s="8">
        <v>1100</v>
      </c>
      <c r="I124" s="3"/>
      <c r="J124" s="7">
        <f t="shared" si="21"/>
        <v>9.1426512076070859E-3</v>
      </c>
      <c r="K124" s="3"/>
      <c r="L124" s="8">
        <f t="shared" si="22"/>
        <v>2350</v>
      </c>
      <c r="M124" s="3"/>
      <c r="N124" s="7">
        <f t="shared" si="23"/>
        <v>2.1363636363636362</v>
      </c>
      <c r="O124" s="12"/>
      <c r="P124" s="8">
        <v>27600</v>
      </c>
      <c r="Q124" s="3"/>
      <c r="R124" s="7">
        <f t="shared" si="24"/>
        <v>9.939712080897849E-3</v>
      </c>
      <c r="S124" s="3"/>
      <c r="T124" s="8">
        <v>8800</v>
      </c>
      <c r="U124" s="3"/>
      <c r="V124" s="7">
        <f t="shared" si="25"/>
        <v>6.7117772333068837E-3</v>
      </c>
      <c r="W124" s="3"/>
      <c r="X124" s="8">
        <f t="shared" si="26"/>
        <v>18800</v>
      </c>
      <c r="Y124" s="3"/>
      <c r="Z124" s="7">
        <f t="shared" si="27"/>
        <v>2.1363636363636362</v>
      </c>
    </row>
    <row r="125" spans="1:26" s="69" customFormat="1" ht="15" hidden="1" customHeight="1" outlineLevel="2" x14ac:dyDescent="0.3">
      <c r="A125" s="26"/>
      <c r="B125" s="12" t="str">
        <f>CONCATENATE("          ","7741"," - ","INV. SHRINKAGE-LOGO GIFTS")</f>
        <v xml:space="preserve">          7741 - INV. SHRINKAGE-LOGO GIFTS</v>
      </c>
      <c r="C125" s="12"/>
      <c r="D125" s="8"/>
      <c r="E125" s="3"/>
      <c r="F125" s="7">
        <f t="shared" si="20"/>
        <v>0</v>
      </c>
      <c r="G125" s="3"/>
      <c r="H125" s="8"/>
      <c r="I125" s="3"/>
      <c r="J125" s="7">
        <f t="shared" si="21"/>
        <v>0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/>
      <c r="Q125" s="3"/>
      <c r="R125" s="7">
        <f t="shared" si="24"/>
        <v>0</v>
      </c>
      <c r="S125" s="3"/>
      <c r="T125" s="8">
        <v>0</v>
      </c>
      <c r="U125" s="3"/>
      <c r="V125" s="7">
        <f t="shared" si="25"/>
        <v>0</v>
      </c>
      <c r="W125" s="3"/>
      <c r="X125" s="8">
        <f t="shared" si="26"/>
        <v>0</v>
      </c>
      <c r="Y125" s="3"/>
      <c r="Z125" s="7">
        <f t="shared" si="27"/>
        <v>0</v>
      </c>
    </row>
    <row r="126" spans="1:26" s="68" customFormat="1" ht="15" customHeight="1" outlineLevel="1" collapsed="1" x14ac:dyDescent="0.3">
      <c r="A126" s="25"/>
      <c r="B126" s="14" t="str">
        <f>CONCATENATE("     ","Professional Services                             ")</f>
        <v xml:space="preserve">     Professional Services                             </v>
      </c>
      <c r="C126" s="14"/>
      <c r="D126" s="2">
        <f>SUM(OSRRefD22_12x_0)</f>
        <v>390</v>
      </c>
      <c r="E126" s="2"/>
      <c r="F126" s="6">
        <f t="shared" si="20"/>
        <v>7.3281963553760345E-4</v>
      </c>
      <c r="G126" s="2"/>
      <c r="H126" s="2">
        <f>SUM(OSRRefH22_12x_0)</f>
        <v>0</v>
      </c>
      <c r="I126" s="2"/>
      <c r="J126" s="6">
        <f t="shared" si="21"/>
        <v>0</v>
      </c>
      <c r="K126" s="2"/>
      <c r="L126" s="2">
        <f t="shared" si="22"/>
        <v>390</v>
      </c>
      <c r="M126" s="2"/>
      <c r="N126" s="6">
        <f t="shared" si="23"/>
        <v>0</v>
      </c>
      <c r="O126" s="14"/>
      <c r="P126" s="2">
        <f>SUM(OSRRefP22_12x_0)</f>
        <v>1059.0999999999999</v>
      </c>
      <c r="Q126" s="2"/>
      <c r="R126" s="6">
        <f t="shared" si="24"/>
        <v>3.8141844437967066E-4</v>
      </c>
      <c r="S126" s="2"/>
      <c r="T126" s="2">
        <f>SUM(OSRRefT22_12x_0)</f>
        <v>0</v>
      </c>
      <c r="U126" s="2"/>
      <c r="V126" s="6">
        <f t="shared" si="25"/>
        <v>0</v>
      </c>
      <c r="W126" s="2"/>
      <c r="X126" s="2">
        <f t="shared" si="26"/>
        <v>1059.0999999999999</v>
      </c>
      <c r="Y126" s="2"/>
      <c r="Z126" s="6">
        <f t="shared" si="27"/>
        <v>0</v>
      </c>
    </row>
    <row r="127" spans="1:26" s="69" customFormat="1" ht="15" hidden="1" customHeight="1" outlineLevel="2" x14ac:dyDescent="0.3">
      <c r="A127" s="26"/>
      <c r="B127" s="12" t="str">
        <f>CONCATENATE("          ","6336"," - ","PROFESSIONAL SERVICES")</f>
        <v xml:space="preserve">          6336 - PROFESSIONAL SERVICES</v>
      </c>
      <c r="C127" s="12"/>
      <c r="D127" s="8">
        <v>390</v>
      </c>
      <c r="E127" s="3"/>
      <c r="F127" s="7">
        <f t="shared" si="20"/>
        <v>7.3281963553760345E-4</v>
      </c>
      <c r="G127" s="3"/>
      <c r="H127" s="8"/>
      <c r="I127" s="3"/>
      <c r="J127" s="7">
        <f t="shared" si="21"/>
        <v>0</v>
      </c>
      <c r="K127" s="3"/>
      <c r="L127" s="8">
        <f t="shared" si="22"/>
        <v>390</v>
      </c>
      <c r="M127" s="3"/>
      <c r="N127" s="7">
        <f t="shared" si="23"/>
        <v>0</v>
      </c>
      <c r="O127" s="12"/>
      <c r="P127" s="8">
        <v>1059.0999999999999</v>
      </c>
      <c r="Q127" s="3"/>
      <c r="R127" s="7">
        <f t="shared" si="24"/>
        <v>3.8141844437967066E-4</v>
      </c>
      <c r="S127" s="3"/>
      <c r="T127" s="8"/>
      <c r="U127" s="3"/>
      <c r="V127" s="7">
        <f t="shared" si="25"/>
        <v>0</v>
      </c>
      <c r="W127" s="3"/>
      <c r="X127" s="8">
        <f t="shared" si="26"/>
        <v>1059.0999999999999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5"/>
      <c r="B128" s="14" t="str">
        <f>CONCATENATE("     ","Rent                                              ")</f>
        <v xml:space="preserve">     Rent                                              </v>
      </c>
      <c r="C128" s="14"/>
      <c r="D128" s="2">
        <f>SUM(OSRRefD22_13x_0)</f>
        <v>6900</v>
      </c>
      <c r="E128" s="2"/>
      <c r="F128" s="6">
        <f t="shared" si="20"/>
        <v>1.2965270474896061E-2</v>
      </c>
      <c r="G128" s="2"/>
      <c r="H128" s="2">
        <f>SUM(OSRRefH22_13x_0)</f>
        <v>6900</v>
      </c>
      <c r="I128" s="2"/>
      <c r="J128" s="6">
        <f t="shared" si="21"/>
        <v>5.73493575749899E-2</v>
      </c>
      <c r="K128" s="2"/>
      <c r="L128" s="2">
        <f t="shared" si="22"/>
        <v>0</v>
      </c>
      <c r="M128" s="2"/>
      <c r="N128" s="6">
        <f t="shared" si="23"/>
        <v>0</v>
      </c>
      <c r="O128" s="14"/>
      <c r="P128" s="2">
        <f>SUM(OSRRefP22_13x_0)</f>
        <v>55200</v>
      </c>
      <c r="Q128" s="2"/>
      <c r="R128" s="6">
        <f t="shared" si="24"/>
        <v>1.9879424161795698E-2</v>
      </c>
      <c r="S128" s="2"/>
      <c r="T128" s="2">
        <f>SUM(OSRRefT22_13x_0)</f>
        <v>55200</v>
      </c>
      <c r="U128" s="2"/>
      <c r="V128" s="6">
        <f t="shared" si="25"/>
        <v>4.210114809983409E-2</v>
      </c>
      <c r="W128" s="2"/>
      <c r="X128" s="2">
        <f t="shared" si="26"/>
        <v>0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6"/>
      <c r="B129" s="12" t="str">
        <f>CONCATENATE("          ","6273"," - ","RENT")</f>
        <v xml:space="preserve">          6273 - RENT</v>
      </c>
      <c r="C129" s="12"/>
      <c r="D129" s="8">
        <v>6900</v>
      </c>
      <c r="E129" s="3"/>
      <c r="F129" s="7">
        <f t="shared" si="20"/>
        <v>1.2965270474896061E-2</v>
      </c>
      <c r="G129" s="3"/>
      <c r="H129" s="8">
        <v>6900</v>
      </c>
      <c r="I129" s="3"/>
      <c r="J129" s="7">
        <f t="shared" si="21"/>
        <v>5.73493575749899E-2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>
        <v>55200</v>
      </c>
      <c r="Q129" s="3"/>
      <c r="R129" s="7">
        <f t="shared" si="24"/>
        <v>1.9879424161795698E-2</v>
      </c>
      <c r="S129" s="3"/>
      <c r="T129" s="8">
        <v>55200</v>
      </c>
      <c r="U129" s="3"/>
      <c r="V129" s="7">
        <f t="shared" si="25"/>
        <v>4.210114809983409E-2</v>
      </c>
      <c r="W129" s="3"/>
      <c r="X129" s="8">
        <f t="shared" si="26"/>
        <v>0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5"/>
      <c r="B130" s="14" t="str">
        <f>CONCATENATE("     ","Repair and Maintenance                            ")</f>
        <v xml:space="preserve">     Repair and Maintenance                            </v>
      </c>
      <c r="C130" s="14"/>
      <c r="D130" s="2">
        <f>SUM(OSRRefD22_14x_0)</f>
        <v>20.29</v>
      </c>
      <c r="E130" s="2"/>
      <c r="F130" s="6">
        <f t="shared" si="20"/>
        <v>3.8125411295020447E-5</v>
      </c>
      <c r="G130" s="2"/>
      <c r="H130" s="2">
        <f>SUM(OSRRefH22_14x_0)</f>
        <v>-0.52</v>
      </c>
      <c r="I130" s="2"/>
      <c r="J130" s="6">
        <f t="shared" si="21"/>
        <v>-4.3219805708688041E-6</v>
      </c>
      <c r="K130" s="2"/>
      <c r="L130" s="2">
        <f t="shared" si="22"/>
        <v>20.81</v>
      </c>
      <c r="M130" s="2"/>
      <c r="N130" s="6">
        <f t="shared" si="23"/>
        <v>-40.019230769230766</v>
      </c>
      <c r="O130" s="14"/>
      <c r="P130" s="2">
        <f>SUM(OSRRefP22_14x_0)</f>
        <v>2991.2200000000003</v>
      </c>
      <c r="Q130" s="2"/>
      <c r="R130" s="6">
        <f t="shared" si="24"/>
        <v>1.0772415061820024E-3</v>
      </c>
      <c r="S130" s="2"/>
      <c r="T130" s="2">
        <f>SUM(OSRRefT22_14x_0)</f>
        <v>95.92</v>
      </c>
      <c r="U130" s="2"/>
      <c r="V130" s="6">
        <f t="shared" si="25"/>
        <v>7.3158371843045036E-5</v>
      </c>
      <c r="W130" s="2"/>
      <c r="X130" s="2">
        <f t="shared" si="26"/>
        <v>2895.3</v>
      </c>
      <c r="Y130" s="2"/>
      <c r="Z130" s="6">
        <f t="shared" si="27"/>
        <v>30.184528773978318</v>
      </c>
    </row>
    <row r="131" spans="1:26" s="69" customFormat="1" ht="15" hidden="1" customHeight="1" outlineLevel="2" x14ac:dyDescent="0.3">
      <c r="A131" s="26"/>
      <c r="B131" s="12" t="str">
        <f>CONCATENATE("          ","6372"," - ","COMPUTER HARDWARE MAINTENANCE")</f>
        <v xml:space="preserve">          6372 - COMPUTER HARDWARE MAINTENANCE</v>
      </c>
      <c r="C131" s="12"/>
      <c r="D131" s="8"/>
      <c r="E131" s="3"/>
      <c r="F131" s="7">
        <f t="shared" si="20"/>
        <v>0</v>
      </c>
      <c r="G131" s="3"/>
      <c r="H131" s="8">
        <v>-0.52</v>
      </c>
      <c r="I131" s="3"/>
      <c r="J131" s="7">
        <f t="shared" si="21"/>
        <v>-4.3219805708688041E-6</v>
      </c>
      <c r="K131" s="3"/>
      <c r="L131" s="8">
        <f t="shared" si="22"/>
        <v>0.52</v>
      </c>
      <c r="M131" s="3"/>
      <c r="N131" s="7">
        <f t="shared" si="23"/>
        <v>-1</v>
      </c>
      <c r="O131" s="12"/>
      <c r="P131" s="8"/>
      <c r="Q131" s="3"/>
      <c r="R131" s="7">
        <f t="shared" si="24"/>
        <v>0</v>
      </c>
      <c r="S131" s="3"/>
      <c r="T131" s="8">
        <v>-0.52</v>
      </c>
      <c r="U131" s="3"/>
      <c r="V131" s="7">
        <f t="shared" si="25"/>
        <v>-3.966050183317704E-7</v>
      </c>
      <c r="W131" s="3"/>
      <c r="X131" s="8">
        <f t="shared" si="26"/>
        <v>0.52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6"/>
      <c r="B132" s="12" t="str">
        <f>CONCATENATE("          ","6373"," - ","MAINTENANCE CONTRACTS")</f>
        <v xml:space="preserve">          6373 - MAINTENANCE CONTRACTS</v>
      </c>
      <c r="C132" s="12"/>
      <c r="D132" s="8">
        <v>12.04</v>
      </c>
      <c r="E132" s="3"/>
      <c r="F132" s="7">
        <f t="shared" si="20"/>
        <v>2.2623457466340373E-5</v>
      </c>
      <c r="G132" s="3"/>
      <c r="H132" s="8"/>
      <c r="I132" s="3"/>
      <c r="J132" s="7">
        <f t="shared" si="21"/>
        <v>0</v>
      </c>
      <c r="K132" s="3"/>
      <c r="L132" s="8">
        <f t="shared" si="22"/>
        <v>12.04</v>
      </c>
      <c r="M132" s="3"/>
      <c r="N132" s="7">
        <f t="shared" si="23"/>
        <v>0</v>
      </c>
      <c r="O132" s="12"/>
      <c r="P132" s="8">
        <v>481.57</v>
      </c>
      <c r="Q132" s="3"/>
      <c r="R132" s="7">
        <f t="shared" si="24"/>
        <v>1.7342996908688321E-4</v>
      </c>
      <c r="S132" s="3"/>
      <c r="T132" s="8">
        <v>96.44</v>
      </c>
      <c r="U132" s="3"/>
      <c r="V132" s="7">
        <f t="shared" si="25"/>
        <v>7.3554976861376804E-5</v>
      </c>
      <c r="W132" s="3"/>
      <c r="X132" s="8">
        <f t="shared" si="26"/>
        <v>385.13</v>
      </c>
      <c r="Y132" s="3"/>
      <c r="Z132" s="7">
        <f t="shared" si="27"/>
        <v>3.9934674408958939</v>
      </c>
    </row>
    <row r="133" spans="1:26" s="69" customFormat="1" ht="15" hidden="1" customHeight="1" outlineLevel="2" x14ac:dyDescent="0.3">
      <c r="A133" s="26"/>
      <c r="B133" s="12" t="str">
        <f>CONCATENATE("          ","6375"," - ","OUTSIDE REPAIRS &amp; MAINTENANCE")</f>
        <v xml:space="preserve">          6375 - OUTSIDE REPAIRS &amp; MAINTENANCE</v>
      </c>
      <c r="C133" s="12"/>
      <c r="D133" s="8">
        <v>8.25</v>
      </c>
      <c r="E133" s="3"/>
      <c r="F133" s="7">
        <f t="shared" si="20"/>
        <v>1.5501953828680074E-5</v>
      </c>
      <c r="G133" s="3"/>
      <c r="H133" s="8"/>
      <c r="I133" s="3"/>
      <c r="J133" s="7">
        <f t="shared" si="21"/>
        <v>0</v>
      </c>
      <c r="K133" s="3"/>
      <c r="L133" s="8">
        <f t="shared" si="22"/>
        <v>8.25</v>
      </c>
      <c r="M133" s="3"/>
      <c r="N133" s="7">
        <f t="shared" si="23"/>
        <v>0</v>
      </c>
      <c r="O133" s="12"/>
      <c r="P133" s="8">
        <v>2509.65</v>
      </c>
      <c r="Q133" s="3"/>
      <c r="R133" s="7">
        <f t="shared" si="24"/>
        <v>9.0381153709511905E-4</v>
      </c>
      <c r="S133" s="3"/>
      <c r="T133" s="8"/>
      <c r="U133" s="3"/>
      <c r="V133" s="7">
        <f t="shared" si="25"/>
        <v>0</v>
      </c>
      <c r="W133" s="3"/>
      <c r="X133" s="8">
        <f t="shared" si="26"/>
        <v>2509.65</v>
      </c>
      <c r="Y133" s="3"/>
      <c r="Z133" s="7">
        <f t="shared" si="27"/>
        <v>0</v>
      </c>
    </row>
    <row r="134" spans="1:26" s="68" customFormat="1" ht="15" customHeight="1" outlineLevel="1" collapsed="1" x14ac:dyDescent="0.3">
      <c r="A134" s="25"/>
      <c r="B134" s="14" t="str">
        <f>CONCATENATE("     ","Royalty &amp; Commissions                             ")</f>
        <v xml:space="preserve">     Royalty &amp; Commissions                             </v>
      </c>
      <c r="C134" s="14"/>
      <c r="D134" s="2">
        <f>SUM(OSRRefD22_15x_0)</f>
        <v>3147.46</v>
      </c>
      <c r="E134" s="2"/>
      <c r="F134" s="6">
        <f t="shared" si="20"/>
        <v>5.914155102741501E-3</v>
      </c>
      <c r="G134" s="2"/>
      <c r="H134" s="2">
        <f>SUM(OSRRefH22_15x_0)</f>
        <v>0</v>
      </c>
      <c r="I134" s="2"/>
      <c r="J134" s="6">
        <f t="shared" si="21"/>
        <v>0</v>
      </c>
      <c r="K134" s="2"/>
      <c r="L134" s="2">
        <f t="shared" si="22"/>
        <v>3147.46</v>
      </c>
      <c r="M134" s="2"/>
      <c r="N134" s="6">
        <f t="shared" si="23"/>
        <v>0</v>
      </c>
      <c r="O134" s="14"/>
      <c r="P134" s="2">
        <f>SUM(OSRRefP22_15x_0)</f>
        <v>42730.310000000005</v>
      </c>
      <c r="Q134" s="2"/>
      <c r="R134" s="6">
        <f t="shared" si="24"/>
        <v>1.5388658642301094E-2</v>
      </c>
      <c r="S134" s="2"/>
      <c r="T134" s="2">
        <f>SUM(OSRRefT22_15x_0)</f>
        <v>26197.58</v>
      </c>
      <c r="U134" s="2"/>
      <c r="V134" s="6">
        <f t="shared" si="25"/>
        <v>1.9980945569515428E-2</v>
      </c>
      <c r="W134" s="2"/>
      <c r="X134" s="2">
        <f t="shared" si="26"/>
        <v>16532.730000000003</v>
      </c>
      <c r="Y134" s="2"/>
      <c r="Z134" s="6">
        <f t="shared" si="27"/>
        <v>0.63107851946630189</v>
      </c>
    </row>
    <row r="135" spans="1:26" s="69" customFormat="1" ht="15" hidden="1" customHeight="1" outlineLevel="2" x14ac:dyDescent="0.3">
      <c r="A135" s="26"/>
      <c r="B135" s="12" t="str">
        <f>CONCATENATE("          ","6253"," - ","ROYALTY DUE ATHLETICS-LRG")</f>
        <v xml:space="preserve">          6253 - ROYALTY DUE ATHLETICS-LRG</v>
      </c>
      <c r="C135" s="12"/>
      <c r="D135" s="8"/>
      <c r="E135" s="3"/>
      <c r="F135" s="7">
        <f t="shared" si="20"/>
        <v>0</v>
      </c>
      <c r="G135" s="3"/>
      <c r="H135" s="8"/>
      <c r="I135" s="3"/>
      <c r="J135" s="7">
        <f t="shared" si="21"/>
        <v>0</v>
      </c>
      <c r="K135" s="3"/>
      <c r="L135" s="8">
        <f t="shared" si="22"/>
        <v>0</v>
      </c>
      <c r="M135" s="3"/>
      <c r="N135" s="7">
        <f t="shared" si="23"/>
        <v>0</v>
      </c>
      <c r="O135" s="12"/>
      <c r="P135" s="8">
        <v>39221.160000000003</v>
      </c>
      <c r="Q135" s="3"/>
      <c r="R135" s="7">
        <f t="shared" si="24"/>
        <v>1.4124892676769111E-2</v>
      </c>
      <c r="S135" s="3"/>
      <c r="T135" s="8">
        <v>26197.58</v>
      </c>
      <c r="U135" s="3"/>
      <c r="V135" s="7">
        <f t="shared" si="25"/>
        <v>1.9980945569515428E-2</v>
      </c>
      <c r="W135" s="3"/>
      <c r="X135" s="8">
        <f t="shared" si="26"/>
        <v>13023.580000000002</v>
      </c>
      <c r="Y135" s="3"/>
      <c r="Z135" s="7">
        <f t="shared" si="27"/>
        <v>0.49712912414047405</v>
      </c>
    </row>
    <row r="136" spans="1:26" s="69" customFormat="1" ht="15" hidden="1" customHeight="1" outlineLevel="2" x14ac:dyDescent="0.3">
      <c r="A136" s="26"/>
      <c r="B136" s="12" t="str">
        <f>CONCATENATE("          ","6254"," - ","ROYALTY &amp; COMMISSIONS")</f>
        <v xml:space="preserve">          6254 - ROYALTY &amp; COMMISSIONS</v>
      </c>
      <c r="C136" s="12"/>
      <c r="D136" s="8">
        <v>3147.46</v>
      </c>
      <c r="E136" s="3"/>
      <c r="F136" s="7">
        <f t="shared" si="20"/>
        <v>5.914155102741501E-3</v>
      </c>
      <c r="G136" s="3"/>
      <c r="H136" s="8"/>
      <c r="I136" s="3"/>
      <c r="J136" s="7">
        <f t="shared" si="21"/>
        <v>0</v>
      </c>
      <c r="K136" s="3"/>
      <c r="L136" s="8">
        <f t="shared" si="22"/>
        <v>3147.46</v>
      </c>
      <c r="M136" s="3"/>
      <c r="N136" s="7">
        <f t="shared" si="23"/>
        <v>0</v>
      </c>
      <c r="O136" s="12"/>
      <c r="P136" s="8">
        <v>3509.15</v>
      </c>
      <c r="Q136" s="3"/>
      <c r="R136" s="7">
        <f t="shared" si="24"/>
        <v>1.2637659655319814E-3</v>
      </c>
      <c r="S136" s="3"/>
      <c r="T136" s="8"/>
      <c r="U136" s="3"/>
      <c r="V136" s="7">
        <f t="shared" si="25"/>
        <v>0</v>
      </c>
      <c r="W136" s="3"/>
      <c r="X136" s="8">
        <f t="shared" si="26"/>
        <v>3509.15</v>
      </c>
      <c r="Y136" s="3"/>
      <c r="Z136" s="7">
        <f t="shared" si="27"/>
        <v>0</v>
      </c>
    </row>
    <row r="137" spans="1:26" s="68" customFormat="1" ht="15" customHeight="1" outlineLevel="1" collapsed="1" x14ac:dyDescent="0.3">
      <c r="A137" s="25"/>
      <c r="B137" s="14" t="str">
        <f>CONCATENATE("     ","Services                                          ")</f>
        <v xml:space="preserve">     Services                                          </v>
      </c>
      <c r="C137" s="14"/>
      <c r="D137" s="2">
        <f>SUM(OSRRefD22_16x_0)</f>
        <v>223.45</v>
      </c>
      <c r="E137" s="2"/>
      <c r="F137" s="6">
        <f t="shared" si="20"/>
        <v>4.1986807066891663E-4</v>
      </c>
      <c r="G137" s="2"/>
      <c r="H137" s="2">
        <f>SUM(OSRRefH22_16x_0)</f>
        <v>81.84</v>
      </c>
      <c r="I137" s="2"/>
      <c r="J137" s="6">
        <f t="shared" si="21"/>
        <v>6.802132498459672E-4</v>
      </c>
      <c r="K137" s="2"/>
      <c r="L137" s="2">
        <f t="shared" si="22"/>
        <v>141.60999999999999</v>
      </c>
      <c r="M137" s="2"/>
      <c r="N137" s="6">
        <f t="shared" si="23"/>
        <v>1.7303274682306937</v>
      </c>
      <c r="O137" s="14"/>
      <c r="P137" s="2">
        <f>SUM(OSRRefP22_16x_0)</f>
        <v>1355.3600000000001</v>
      </c>
      <c r="Q137" s="2"/>
      <c r="R137" s="6">
        <f t="shared" si="24"/>
        <v>4.8811189007122137E-4</v>
      </c>
      <c r="S137" s="2"/>
      <c r="T137" s="2">
        <f>SUM(OSRRefT22_16x_0)</f>
        <v>356.49999999999989</v>
      </c>
      <c r="U137" s="2"/>
      <c r="V137" s="6">
        <f t="shared" si="25"/>
        <v>2.7190324814476173E-4</v>
      </c>
      <c r="W137" s="2"/>
      <c r="X137" s="2">
        <f t="shared" si="26"/>
        <v>998.86000000000024</v>
      </c>
      <c r="Y137" s="2"/>
      <c r="Z137" s="6">
        <f t="shared" si="27"/>
        <v>2.8018513323983187</v>
      </c>
    </row>
    <row r="138" spans="1:26" s="69" customFormat="1" ht="15" hidden="1" customHeight="1" outlineLevel="2" x14ac:dyDescent="0.3">
      <c r="A138" s="26"/>
      <c r="B138" s="12" t="str">
        <f>CONCATENATE("          ","6283"," - ","PLANT SERVICE")</f>
        <v xml:space="preserve">          6283 - PLANT SERVICE</v>
      </c>
      <c r="C138" s="12"/>
      <c r="D138" s="8"/>
      <c r="E138" s="3"/>
      <c r="F138" s="7">
        <f t="shared" si="20"/>
        <v>0</v>
      </c>
      <c r="G138" s="3"/>
      <c r="H138" s="8"/>
      <c r="I138" s="3"/>
      <c r="J138" s="7">
        <f t="shared" si="21"/>
        <v>0</v>
      </c>
      <c r="K138" s="3"/>
      <c r="L138" s="8">
        <f t="shared" si="22"/>
        <v>0</v>
      </c>
      <c r="M138" s="3"/>
      <c r="N138" s="7">
        <f t="shared" si="23"/>
        <v>0</v>
      </c>
      <c r="O138" s="12"/>
      <c r="P138" s="8"/>
      <c r="Q138" s="3"/>
      <c r="R138" s="7">
        <f t="shared" si="24"/>
        <v>0</v>
      </c>
      <c r="S138" s="3"/>
      <c r="T138" s="8">
        <v>41.31</v>
      </c>
      <c r="U138" s="3"/>
      <c r="V138" s="7">
        <f t="shared" si="25"/>
        <v>3.1507217898625841E-5</v>
      </c>
      <c r="W138" s="3"/>
      <c r="X138" s="8">
        <f t="shared" si="26"/>
        <v>-41.31</v>
      </c>
      <c r="Y138" s="3"/>
      <c r="Z138" s="7">
        <f t="shared" si="27"/>
        <v>-1</v>
      </c>
    </row>
    <row r="139" spans="1:26" s="69" customFormat="1" ht="15" hidden="1" customHeight="1" outlineLevel="2" x14ac:dyDescent="0.3">
      <c r="A139" s="26"/>
      <c r="B139" s="12" t="str">
        <f>CONCATENATE("          ","6284"," - ","TRASH REMOVAL EXPENSE")</f>
        <v xml:space="preserve">          6284 - TRASH REMOVAL EXPENSE</v>
      </c>
      <c r="C139" s="12"/>
      <c r="D139" s="8">
        <v>149.69999999999999</v>
      </c>
      <c r="E139" s="3"/>
      <c r="F139" s="7">
        <f t="shared" si="20"/>
        <v>2.8128999856404932E-4</v>
      </c>
      <c r="G139" s="3"/>
      <c r="H139" s="8">
        <v>142.57</v>
      </c>
      <c r="I139" s="3"/>
      <c r="J139" s="7">
        <f t="shared" si="21"/>
        <v>1.1849707115168565E-3</v>
      </c>
      <c r="K139" s="3"/>
      <c r="L139" s="8">
        <f t="shared" si="22"/>
        <v>7.1299999999999955</v>
      </c>
      <c r="M139" s="3"/>
      <c r="N139" s="7">
        <f t="shared" si="23"/>
        <v>5.0010521147506461E-2</v>
      </c>
      <c r="O139" s="12"/>
      <c r="P139" s="8">
        <v>1190.47</v>
      </c>
      <c r="Q139" s="3"/>
      <c r="R139" s="7">
        <f t="shared" si="24"/>
        <v>4.2872931307777034E-4</v>
      </c>
      <c r="S139" s="3"/>
      <c r="T139" s="8">
        <v>1155.58</v>
      </c>
      <c r="U139" s="3"/>
      <c r="V139" s="7">
        <f t="shared" si="25"/>
        <v>8.8136312900736005E-4</v>
      </c>
      <c r="W139" s="3"/>
      <c r="X139" s="8">
        <f t="shared" si="26"/>
        <v>34.8900000000001</v>
      </c>
      <c r="Y139" s="3"/>
      <c r="Z139" s="7">
        <f t="shared" si="27"/>
        <v>3.0192630540507887E-2</v>
      </c>
    </row>
    <row r="140" spans="1:26" s="69" customFormat="1" ht="15" hidden="1" customHeight="1" outlineLevel="2" x14ac:dyDescent="0.3">
      <c r="A140" s="26"/>
      <c r="B140" s="12" t="str">
        <f>CONCATENATE("          ","6285"," - ","JANITORIAL SERVICES")</f>
        <v xml:space="preserve">          6285 - JANITORIAL SERVICES</v>
      </c>
      <c r="C140" s="12"/>
      <c r="D140" s="8">
        <v>73.75</v>
      </c>
      <c r="E140" s="3"/>
      <c r="F140" s="7">
        <f t="shared" si="20"/>
        <v>1.3857807210486731E-4</v>
      </c>
      <c r="G140" s="3"/>
      <c r="H140" s="8">
        <v>-60.73</v>
      </c>
      <c r="I140" s="3"/>
      <c r="J140" s="7">
        <f t="shared" si="21"/>
        <v>-5.0475746167088934E-4</v>
      </c>
      <c r="K140" s="3"/>
      <c r="L140" s="8">
        <f t="shared" si="22"/>
        <v>134.47999999999999</v>
      </c>
      <c r="M140" s="3"/>
      <c r="N140" s="7">
        <f t="shared" si="23"/>
        <v>-2.2143915692409024</v>
      </c>
      <c r="O140" s="12"/>
      <c r="P140" s="8">
        <v>164.89</v>
      </c>
      <c r="Q140" s="3"/>
      <c r="R140" s="7">
        <f t="shared" si="24"/>
        <v>5.9382576993450945E-5</v>
      </c>
      <c r="S140" s="3"/>
      <c r="T140" s="8">
        <v>-840.39</v>
      </c>
      <c r="U140" s="3"/>
      <c r="V140" s="7">
        <f t="shared" si="25"/>
        <v>-6.4096709876122412E-4</v>
      </c>
      <c r="W140" s="3"/>
      <c r="X140" s="8">
        <f t="shared" si="26"/>
        <v>1005.28</v>
      </c>
      <c r="Y140" s="3"/>
      <c r="Z140" s="7">
        <f t="shared" si="27"/>
        <v>-1.1962065231618653</v>
      </c>
    </row>
    <row r="141" spans="1:26" s="68" customFormat="1" ht="15" customHeight="1" outlineLevel="1" collapsed="1" x14ac:dyDescent="0.3">
      <c r="A141" s="25"/>
      <c r="B141" s="14" t="str">
        <f>CONCATENATE("     ","Subscriptions &amp; Dues                              ")</f>
        <v xml:space="preserve">     Subscriptions &amp; Dues                              </v>
      </c>
      <c r="C141" s="14"/>
      <c r="D141" s="2">
        <f>SUM(OSRRefD22_17x_0)</f>
        <v>0</v>
      </c>
      <c r="E141" s="2"/>
      <c r="F141" s="6">
        <f t="shared" si="20"/>
        <v>0</v>
      </c>
      <c r="G141" s="2"/>
      <c r="H141" s="2">
        <f>SUM(OSRRefH22_17x_0)</f>
        <v>0</v>
      </c>
      <c r="I141" s="2"/>
      <c r="J141" s="6">
        <f t="shared" si="21"/>
        <v>0</v>
      </c>
      <c r="K141" s="2"/>
      <c r="L141" s="2">
        <f t="shared" si="22"/>
        <v>0</v>
      </c>
      <c r="M141" s="2"/>
      <c r="N141" s="6">
        <f t="shared" si="23"/>
        <v>0</v>
      </c>
      <c r="O141" s="14"/>
      <c r="P141" s="2">
        <f>SUM(OSRRefP22_17x_0)</f>
        <v>0</v>
      </c>
      <c r="Q141" s="2"/>
      <c r="R141" s="6">
        <f t="shared" si="24"/>
        <v>0</v>
      </c>
      <c r="S141" s="2"/>
      <c r="T141" s="2">
        <f>SUM(OSRRefT22_17x_0)</f>
        <v>-67.299999999999955</v>
      </c>
      <c r="U141" s="2"/>
      <c r="V141" s="6">
        <f t="shared" si="25"/>
        <v>-5.132984179563102E-5</v>
      </c>
      <c r="W141" s="2"/>
      <c r="X141" s="2">
        <f t="shared" si="26"/>
        <v>67.299999999999955</v>
      </c>
      <c r="Y141" s="2"/>
      <c r="Z141" s="6">
        <f t="shared" si="27"/>
        <v>-1</v>
      </c>
    </row>
    <row r="142" spans="1:26" s="69" customFormat="1" ht="15" hidden="1" customHeight="1" outlineLevel="2" x14ac:dyDescent="0.3">
      <c r="A142" s="26"/>
      <c r="B142" s="12" t="str">
        <f>CONCATENATE("          ","6258"," - ","MEMBERSHIP DUES")</f>
        <v xml:space="preserve">          6258 - MEMBERSHIP DUES</v>
      </c>
      <c r="C142" s="12"/>
      <c r="D142" s="8"/>
      <c r="E142" s="3"/>
      <c r="F142" s="7">
        <f t="shared" si="20"/>
        <v>0</v>
      </c>
      <c r="G142" s="3"/>
      <c r="H142" s="8"/>
      <c r="I142" s="3"/>
      <c r="J142" s="7">
        <f t="shared" si="21"/>
        <v>0</v>
      </c>
      <c r="K142" s="3"/>
      <c r="L142" s="8">
        <f t="shared" si="22"/>
        <v>0</v>
      </c>
      <c r="M142" s="3"/>
      <c r="N142" s="7">
        <f t="shared" si="23"/>
        <v>0</v>
      </c>
      <c r="O142" s="12"/>
      <c r="P142" s="8"/>
      <c r="Q142" s="3"/>
      <c r="R142" s="7">
        <f t="shared" si="24"/>
        <v>0</v>
      </c>
      <c r="S142" s="3"/>
      <c r="T142" s="8">
        <v>-368.03</v>
      </c>
      <c r="U142" s="3"/>
      <c r="V142" s="7">
        <f t="shared" si="25"/>
        <v>-2.8069720172431049E-4</v>
      </c>
      <c r="W142" s="3"/>
      <c r="X142" s="8">
        <f t="shared" si="26"/>
        <v>368.03</v>
      </c>
      <c r="Y142" s="3"/>
      <c r="Z142" s="7">
        <f t="shared" si="27"/>
        <v>-1</v>
      </c>
    </row>
    <row r="143" spans="1:26" s="69" customFormat="1" ht="15" hidden="1" customHeight="1" outlineLevel="2" x14ac:dyDescent="0.3">
      <c r="A143" s="26"/>
      <c r="B143" s="12" t="str">
        <f>CONCATENATE("          ","6275"," - ","SUBSCRIPTIONS")</f>
        <v xml:space="preserve">          6275 - SUBSCRIPTIONS</v>
      </c>
      <c r="C143" s="12"/>
      <c r="D143" s="8"/>
      <c r="E143" s="3"/>
      <c r="F143" s="7">
        <f t="shared" si="20"/>
        <v>0</v>
      </c>
      <c r="G143" s="3"/>
      <c r="H143" s="8"/>
      <c r="I143" s="3"/>
      <c r="J143" s="7">
        <f t="shared" si="21"/>
        <v>0</v>
      </c>
      <c r="K143" s="3"/>
      <c r="L143" s="8">
        <f t="shared" si="22"/>
        <v>0</v>
      </c>
      <c r="M143" s="3"/>
      <c r="N143" s="7">
        <f t="shared" si="23"/>
        <v>0</v>
      </c>
      <c r="O143" s="12"/>
      <c r="P143" s="8"/>
      <c r="Q143" s="3"/>
      <c r="R143" s="7">
        <f t="shared" si="24"/>
        <v>0</v>
      </c>
      <c r="S143" s="3"/>
      <c r="T143" s="8">
        <v>300.73</v>
      </c>
      <c r="U143" s="3"/>
      <c r="V143" s="7">
        <f t="shared" si="25"/>
        <v>2.2936735992867946E-4</v>
      </c>
      <c r="W143" s="3"/>
      <c r="X143" s="8">
        <f t="shared" si="26"/>
        <v>-300.73</v>
      </c>
      <c r="Y143" s="3"/>
      <c r="Z143" s="7">
        <f t="shared" si="27"/>
        <v>-1</v>
      </c>
    </row>
    <row r="144" spans="1:26" s="68" customFormat="1" ht="15" customHeight="1" outlineLevel="1" collapsed="1" x14ac:dyDescent="0.3">
      <c r="A144" s="25"/>
      <c r="B144" s="14" t="str">
        <f>CONCATENATE("     ","Supplies                                          ")</f>
        <v xml:space="preserve">     Supplies                                          </v>
      </c>
      <c r="C144" s="14"/>
      <c r="D144" s="2">
        <f>SUM(OSRRefD22_18x_0)</f>
        <v>473.25</v>
      </c>
      <c r="E144" s="2"/>
      <c r="F144" s="6">
        <f t="shared" si="20"/>
        <v>8.8924844235428421E-4</v>
      </c>
      <c r="G144" s="2"/>
      <c r="H144" s="2">
        <f>SUM(OSRRefH22_18x_0)</f>
        <v>71.62</v>
      </c>
      <c r="I144" s="2"/>
      <c r="J144" s="6">
        <f t="shared" si="21"/>
        <v>5.9526970862619954E-4</v>
      </c>
      <c r="K144" s="2"/>
      <c r="L144" s="2">
        <f t="shared" si="22"/>
        <v>401.63</v>
      </c>
      <c r="M144" s="2"/>
      <c r="N144" s="6">
        <f t="shared" si="23"/>
        <v>5.6077911197989385</v>
      </c>
      <c r="O144" s="14"/>
      <c r="P144" s="2">
        <f>SUM(OSRRefP22_18x_0)</f>
        <v>9196.85</v>
      </c>
      <c r="Q144" s="2"/>
      <c r="R144" s="6">
        <f t="shared" si="24"/>
        <v>3.3121029366378761E-3</v>
      </c>
      <c r="S144" s="2"/>
      <c r="T144" s="2">
        <f>SUM(OSRRefT22_18x_0)</f>
        <v>3922.76</v>
      </c>
      <c r="U144" s="2"/>
      <c r="V144" s="6">
        <f t="shared" si="25"/>
        <v>2.9918967340598767E-3</v>
      </c>
      <c r="W144" s="2"/>
      <c r="X144" s="2">
        <f t="shared" si="26"/>
        <v>5274.09</v>
      </c>
      <c r="Y144" s="2"/>
      <c r="Z144" s="6">
        <f t="shared" si="27"/>
        <v>1.3444844956102335</v>
      </c>
    </row>
    <row r="145" spans="1:26" s="69" customFormat="1" ht="15" hidden="1" customHeight="1" outlineLevel="2" x14ac:dyDescent="0.3">
      <c r="A145" s="26"/>
      <c r="B145" s="12" t="str">
        <f>CONCATENATE("          ","6234"," - ","EXPENDABLE SUPPLIES &amp; EQUIPMEN")</f>
        <v xml:space="preserve">          6234 - EXPENDABLE SUPPLIES &amp; EQUIPMEN</v>
      </c>
      <c r="C145" s="12"/>
      <c r="D145" s="8"/>
      <c r="E145" s="3"/>
      <c r="F145" s="7">
        <f t="shared" si="20"/>
        <v>0</v>
      </c>
      <c r="G145" s="3"/>
      <c r="H145" s="8"/>
      <c r="I145" s="3"/>
      <c r="J145" s="7">
        <f t="shared" si="21"/>
        <v>0</v>
      </c>
      <c r="K145" s="3"/>
      <c r="L145" s="8">
        <f t="shared" si="22"/>
        <v>0</v>
      </c>
      <c r="M145" s="3"/>
      <c r="N145" s="7">
        <f t="shared" si="23"/>
        <v>0</v>
      </c>
      <c r="O145" s="12"/>
      <c r="P145" s="8"/>
      <c r="Q145" s="3"/>
      <c r="R145" s="7">
        <f t="shared" si="24"/>
        <v>0</v>
      </c>
      <c r="S145" s="3"/>
      <c r="T145" s="8">
        <v>396.5</v>
      </c>
      <c r="U145" s="3"/>
      <c r="V145" s="7">
        <f t="shared" si="25"/>
        <v>3.0241132647797496E-4</v>
      </c>
      <c r="W145" s="3"/>
      <c r="X145" s="8">
        <f t="shared" si="26"/>
        <v>-396.5</v>
      </c>
      <c r="Y145" s="3"/>
      <c r="Z145" s="7">
        <f t="shared" si="27"/>
        <v>-1</v>
      </c>
    </row>
    <row r="146" spans="1:26" s="69" customFormat="1" ht="15" hidden="1" customHeight="1" outlineLevel="2" x14ac:dyDescent="0.3">
      <c r="A146" s="26"/>
      <c r="B146" s="12" t="str">
        <f>CONCATENATE("          ","6235"," - ","COVID-19 EXPENSES")</f>
        <v xml:space="preserve">          6235 - COVID-19 EXPENSES</v>
      </c>
      <c r="C146" s="12"/>
      <c r="D146" s="8"/>
      <c r="E146" s="3"/>
      <c r="F146" s="7">
        <f t="shared" si="20"/>
        <v>0</v>
      </c>
      <c r="G146" s="3"/>
      <c r="H146" s="8"/>
      <c r="I146" s="3"/>
      <c r="J146" s="7">
        <f t="shared" si="21"/>
        <v>0</v>
      </c>
      <c r="K146" s="3"/>
      <c r="L146" s="8">
        <f t="shared" si="22"/>
        <v>0</v>
      </c>
      <c r="M146" s="3"/>
      <c r="N146" s="7">
        <f t="shared" si="23"/>
        <v>0</v>
      </c>
      <c r="O146" s="12"/>
      <c r="P146" s="8"/>
      <c r="Q146" s="3"/>
      <c r="R146" s="7">
        <f t="shared" si="24"/>
        <v>0</v>
      </c>
      <c r="S146" s="3"/>
      <c r="T146" s="8">
        <v>1292.1300000000001</v>
      </c>
      <c r="U146" s="3"/>
      <c r="V146" s="7">
        <f t="shared" si="25"/>
        <v>9.8551008141736633E-4</v>
      </c>
      <c r="W146" s="3"/>
      <c r="X146" s="8">
        <f t="shared" si="26"/>
        <v>-1292.1300000000001</v>
      </c>
      <c r="Y146" s="3"/>
      <c r="Z146" s="7">
        <f t="shared" si="27"/>
        <v>-1</v>
      </c>
    </row>
    <row r="147" spans="1:26" s="69" customFormat="1" ht="15" hidden="1" customHeight="1" outlineLevel="2" x14ac:dyDescent="0.3">
      <c r="A147" s="26"/>
      <c r="B147" s="12" t="str">
        <f>CONCATENATE("          ","6237"," - ","JANITORIAL SUPPLIES")</f>
        <v xml:space="preserve">          6237 - JANITORIAL SUPPLIES</v>
      </c>
      <c r="C147" s="12"/>
      <c r="D147" s="8"/>
      <c r="E147" s="3"/>
      <c r="F147" s="7">
        <f t="shared" si="20"/>
        <v>0</v>
      </c>
      <c r="G147" s="3"/>
      <c r="H147" s="8"/>
      <c r="I147" s="3"/>
      <c r="J147" s="7">
        <f t="shared" si="21"/>
        <v>0</v>
      </c>
      <c r="K147" s="3"/>
      <c r="L147" s="8">
        <f t="shared" si="22"/>
        <v>0</v>
      </c>
      <c r="M147" s="3"/>
      <c r="N147" s="7">
        <f t="shared" si="23"/>
        <v>0</v>
      </c>
      <c r="O147" s="12"/>
      <c r="P147" s="8">
        <v>77.17</v>
      </c>
      <c r="Q147" s="3"/>
      <c r="R147" s="7">
        <f t="shared" si="24"/>
        <v>2.7791579031988659E-5</v>
      </c>
      <c r="S147" s="3"/>
      <c r="T147" s="8">
        <v>191.74</v>
      </c>
      <c r="U147" s="3"/>
      <c r="V147" s="7">
        <f t="shared" si="25"/>
        <v>1.4624047349025705E-4</v>
      </c>
      <c r="W147" s="3"/>
      <c r="X147" s="8">
        <f t="shared" si="26"/>
        <v>-114.57000000000001</v>
      </c>
      <c r="Y147" s="3"/>
      <c r="Z147" s="7">
        <f t="shared" si="27"/>
        <v>-0.59752790236778974</v>
      </c>
    </row>
    <row r="148" spans="1:26" s="69" customFormat="1" ht="15" hidden="1" customHeight="1" outlineLevel="2" x14ac:dyDescent="0.3">
      <c r="A148" s="26"/>
      <c r="B148" s="12" t="str">
        <f>CONCATENATE("          ","6241"," - ","OFFICE EXPENSE")</f>
        <v xml:space="preserve">          6241 - OFFICE EXPENSE</v>
      </c>
      <c r="C148" s="12"/>
      <c r="D148" s="8">
        <v>473.25</v>
      </c>
      <c r="E148" s="3"/>
      <c r="F148" s="7">
        <f t="shared" si="20"/>
        <v>8.8924844235428421E-4</v>
      </c>
      <c r="G148" s="3"/>
      <c r="H148" s="8">
        <v>27.96</v>
      </c>
      <c r="I148" s="3"/>
      <c r="J148" s="7">
        <f t="shared" si="21"/>
        <v>2.3238957069517647E-4</v>
      </c>
      <c r="K148" s="3"/>
      <c r="L148" s="8">
        <f t="shared" si="22"/>
        <v>445.29</v>
      </c>
      <c r="M148" s="3"/>
      <c r="N148" s="7">
        <f t="shared" si="23"/>
        <v>15.925965665236053</v>
      </c>
      <c r="O148" s="12"/>
      <c r="P148" s="8">
        <v>2023.27</v>
      </c>
      <c r="Q148" s="3"/>
      <c r="R148" s="7">
        <f t="shared" si="24"/>
        <v>7.2864932108399234E-4</v>
      </c>
      <c r="S148" s="3"/>
      <c r="T148" s="8">
        <v>932.16</v>
      </c>
      <c r="U148" s="3"/>
      <c r="V148" s="7">
        <f t="shared" si="25"/>
        <v>7.1096025747719826E-4</v>
      </c>
      <c r="W148" s="3"/>
      <c r="X148" s="8">
        <f t="shared" si="26"/>
        <v>1091.1100000000001</v>
      </c>
      <c r="Y148" s="3"/>
      <c r="Z148" s="7">
        <f t="shared" si="27"/>
        <v>1.1705179368348784</v>
      </c>
    </row>
    <row r="149" spans="1:26" s="69" customFormat="1" ht="15" hidden="1" customHeight="1" outlineLevel="2" x14ac:dyDescent="0.3">
      <c r="A149" s="26"/>
      <c r="B149" s="12" t="str">
        <f>CONCATENATE("          ","6245"," - ","PRINTING")</f>
        <v xml:space="preserve">          6245 - PRINTING</v>
      </c>
      <c r="C149" s="12"/>
      <c r="D149" s="8"/>
      <c r="E149" s="3"/>
      <c r="F149" s="7">
        <f t="shared" si="20"/>
        <v>0</v>
      </c>
      <c r="G149" s="3"/>
      <c r="H149" s="8"/>
      <c r="I149" s="3"/>
      <c r="J149" s="7">
        <f t="shared" si="21"/>
        <v>0</v>
      </c>
      <c r="K149" s="3"/>
      <c r="L149" s="8">
        <f t="shared" si="22"/>
        <v>0</v>
      </c>
      <c r="M149" s="3"/>
      <c r="N149" s="7">
        <f t="shared" si="23"/>
        <v>0</v>
      </c>
      <c r="O149" s="12"/>
      <c r="P149" s="8">
        <v>24.75</v>
      </c>
      <c r="Q149" s="3"/>
      <c r="R149" s="7">
        <f t="shared" si="24"/>
        <v>8.9133287681964397E-6</v>
      </c>
      <c r="S149" s="3"/>
      <c r="T149" s="8"/>
      <c r="U149" s="3"/>
      <c r="V149" s="7">
        <f t="shared" si="25"/>
        <v>0</v>
      </c>
      <c r="W149" s="3"/>
      <c r="X149" s="8">
        <f t="shared" si="26"/>
        <v>24.75</v>
      </c>
      <c r="Y149" s="3"/>
      <c r="Z149" s="7">
        <f t="shared" si="27"/>
        <v>0</v>
      </c>
    </row>
    <row r="150" spans="1:26" s="69" customFormat="1" ht="15" hidden="1" customHeight="1" outlineLevel="2" x14ac:dyDescent="0.3">
      <c r="A150" s="26"/>
      <c r="B150" s="12" t="str">
        <f>CONCATENATE("          ","6247"," - ","STORE SUPPLIES")</f>
        <v xml:space="preserve">          6247 - STORE SUPPLIES</v>
      </c>
      <c r="C150" s="12"/>
      <c r="D150" s="8"/>
      <c r="E150" s="3"/>
      <c r="F150" s="7">
        <f t="shared" ref="F150:F158" si="28">IF(D$12=0,0,D150/D$12)</f>
        <v>0</v>
      </c>
      <c r="G150" s="3"/>
      <c r="H150" s="8">
        <v>43.66</v>
      </c>
      <c r="I150" s="3"/>
      <c r="J150" s="7">
        <f t="shared" ref="J150:J158" si="29">IF(H$12=0,0,H150/H$12)</f>
        <v>3.6288013793102299E-4</v>
      </c>
      <c r="K150" s="3"/>
      <c r="L150" s="8">
        <f t="shared" ref="L150:L158" si="30">+D150-H150</f>
        <v>-43.66</v>
      </c>
      <c r="M150" s="3"/>
      <c r="N150" s="7">
        <f t="shared" ref="N150:N158" si="31">IF(H150=0,0,L150/H150)</f>
        <v>-1</v>
      </c>
      <c r="O150" s="12"/>
      <c r="P150" s="8">
        <v>7071.66</v>
      </c>
      <c r="Q150" s="3"/>
      <c r="R150" s="7">
        <f t="shared" ref="R150:R158" si="32">IF(P$12=0,0,P150/P$12)</f>
        <v>2.5467487077536987E-3</v>
      </c>
      <c r="S150" s="3"/>
      <c r="T150" s="8">
        <v>1110.23</v>
      </c>
      <c r="U150" s="3"/>
      <c r="V150" s="7">
        <f t="shared" ref="V150:V158" si="33">IF(T$12=0,0,T150/T$12)</f>
        <v>8.4677459519707978E-4</v>
      </c>
      <c r="W150" s="3"/>
      <c r="X150" s="8">
        <f t="shared" ref="X150:X158" si="34">+P150-T150</f>
        <v>5961.43</v>
      </c>
      <c r="Y150" s="3"/>
      <c r="Z150" s="7">
        <f t="shared" ref="Z150:Z158" si="35">IF(T150=0,0,X150/T150)</f>
        <v>5.3695450492240351</v>
      </c>
    </row>
    <row r="151" spans="1:26" s="68" customFormat="1" ht="15" customHeight="1" outlineLevel="1" collapsed="1" x14ac:dyDescent="0.3">
      <c r="A151" s="25"/>
      <c r="B151" s="14" t="str">
        <f>CONCATENATE("     ","Telephone/Data Lines                              ")</f>
        <v xml:space="preserve">     Telephone/Data Lines                              </v>
      </c>
      <c r="C151" s="14"/>
      <c r="D151" s="2">
        <f>SUM(OSRRefD22_19x_0)</f>
        <v>546.14</v>
      </c>
      <c r="E151" s="2"/>
      <c r="F151" s="6">
        <f t="shared" si="28"/>
        <v>1.0262105532115558E-3</v>
      </c>
      <c r="G151" s="2"/>
      <c r="H151" s="2">
        <f>SUM(OSRRefH22_19x_0)</f>
        <v>134.04</v>
      </c>
      <c r="I151" s="2"/>
      <c r="J151" s="6">
        <f t="shared" si="29"/>
        <v>1.1140736071524125E-3</v>
      </c>
      <c r="K151" s="2"/>
      <c r="L151" s="2">
        <f t="shared" si="30"/>
        <v>412.1</v>
      </c>
      <c r="M151" s="2"/>
      <c r="N151" s="6">
        <f t="shared" si="31"/>
        <v>3.0744553864518056</v>
      </c>
      <c r="O151" s="14"/>
      <c r="P151" s="2">
        <f>SUM(OSRRefP22_19x_0)</f>
        <v>4141.92</v>
      </c>
      <c r="Q151" s="2"/>
      <c r="R151" s="6">
        <f t="shared" si="32"/>
        <v>1.491648270366392E-3</v>
      </c>
      <c r="S151" s="2"/>
      <c r="T151" s="2">
        <f>SUM(OSRRefT22_19x_0)</f>
        <v>5101.83</v>
      </c>
      <c r="U151" s="2"/>
      <c r="V151" s="6">
        <f t="shared" si="33"/>
        <v>3.8911757320684156E-3</v>
      </c>
      <c r="W151" s="2"/>
      <c r="X151" s="2">
        <f t="shared" si="34"/>
        <v>-959.90999999999985</v>
      </c>
      <c r="Y151" s="2"/>
      <c r="Z151" s="6">
        <f t="shared" si="35"/>
        <v>-0.18815013436355188</v>
      </c>
    </row>
    <row r="152" spans="1:26" s="69" customFormat="1" ht="15" hidden="1" customHeight="1" outlineLevel="2" x14ac:dyDescent="0.3">
      <c r="A152" s="26"/>
      <c r="B152" s="12" t="str">
        <f>CONCATENATE("          ","6309"," - ","TELEPHONE")</f>
        <v xml:space="preserve">          6309 - TELEPHONE</v>
      </c>
      <c r="C152" s="12"/>
      <c r="D152" s="8">
        <v>546.14</v>
      </c>
      <c r="E152" s="3"/>
      <c r="F152" s="7">
        <f t="shared" si="28"/>
        <v>1.0262105532115558E-3</v>
      </c>
      <c r="G152" s="3"/>
      <c r="H152" s="8">
        <v>134.04</v>
      </c>
      <c r="I152" s="3"/>
      <c r="J152" s="7">
        <f t="shared" si="29"/>
        <v>1.1140736071524125E-3</v>
      </c>
      <c r="K152" s="3"/>
      <c r="L152" s="8">
        <f t="shared" si="30"/>
        <v>412.1</v>
      </c>
      <c r="M152" s="3"/>
      <c r="N152" s="7">
        <f t="shared" si="31"/>
        <v>3.0744553864518056</v>
      </c>
      <c r="O152" s="12"/>
      <c r="P152" s="8">
        <v>4141.92</v>
      </c>
      <c r="Q152" s="3"/>
      <c r="R152" s="7">
        <f t="shared" si="32"/>
        <v>1.491648270366392E-3</v>
      </c>
      <c r="S152" s="3"/>
      <c r="T152" s="8">
        <v>5101.83</v>
      </c>
      <c r="U152" s="3"/>
      <c r="V152" s="7">
        <f t="shared" si="33"/>
        <v>3.8911757320684156E-3</v>
      </c>
      <c r="W152" s="3"/>
      <c r="X152" s="8">
        <f t="shared" si="34"/>
        <v>-959.90999999999985</v>
      </c>
      <c r="Y152" s="3"/>
      <c r="Z152" s="7">
        <f t="shared" si="35"/>
        <v>-0.18815013436355188</v>
      </c>
    </row>
    <row r="153" spans="1:26" s="68" customFormat="1" ht="15" customHeight="1" outlineLevel="1" collapsed="1" x14ac:dyDescent="0.3">
      <c r="A153" s="25"/>
      <c r="B153" s="14" t="str">
        <f>CONCATENATE("     ","Training                                          ")</f>
        <v xml:space="preserve">     Training                                          </v>
      </c>
      <c r="C153" s="14"/>
      <c r="D153" s="2">
        <f>SUM(OSRRefD22_20x_0)</f>
        <v>300</v>
      </c>
      <c r="E153" s="2"/>
      <c r="F153" s="6">
        <f t="shared" si="28"/>
        <v>5.6370741195200266E-4</v>
      </c>
      <c r="G153" s="2"/>
      <c r="H153" s="2">
        <f>SUM(OSRRefH22_20x_0)</f>
        <v>0</v>
      </c>
      <c r="I153" s="2"/>
      <c r="J153" s="6">
        <f t="shared" si="29"/>
        <v>0</v>
      </c>
      <c r="K153" s="2"/>
      <c r="L153" s="2">
        <f t="shared" si="30"/>
        <v>300</v>
      </c>
      <c r="M153" s="2"/>
      <c r="N153" s="6">
        <f t="shared" si="31"/>
        <v>0</v>
      </c>
      <c r="O153" s="14"/>
      <c r="P153" s="2">
        <f>SUM(OSRRefP22_20x_0)</f>
        <v>300</v>
      </c>
      <c r="Q153" s="2"/>
      <c r="R153" s="6">
        <f t="shared" si="32"/>
        <v>1.0804034870541139E-4</v>
      </c>
      <c r="S153" s="2"/>
      <c r="T153" s="2">
        <f>SUM(OSRRefT22_20x_0)</f>
        <v>0</v>
      </c>
      <c r="U153" s="2"/>
      <c r="V153" s="6">
        <f t="shared" si="33"/>
        <v>0</v>
      </c>
      <c r="W153" s="2"/>
      <c r="X153" s="2">
        <f t="shared" si="34"/>
        <v>300</v>
      </c>
      <c r="Y153" s="2"/>
      <c r="Z153" s="6">
        <f t="shared" si="35"/>
        <v>0</v>
      </c>
    </row>
    <row r="154" spans="1:26" s="69" customFormat="1" ht="15" hidden="1" customHeight="1" outlineLevel="2" x14ac:dyDescent="0.3">
      <c r="A154" s="26"/>
      <c r="B154" s="12" t="str">
        <f>CONCATENATE("          ","6376"," - ","TRAINING")</f>
        <v xml:space="preserve">          6376 - TRAINING</v>
      </c>
      <c r="C154" s="12"/>
      <c r="D154" s="8">
        <v>300</v>
      </c>
      <c r="E154" s="3"/>
      <c r="F154" s="7">
        <f t="shared" si="28"/>
        <v>5.6370741195200266E-4</v>
      </c>
      <c r="G154" s="3"/>
      <c r="H154" s="8"/>
      <c r="I154" s="3"/>
      <c r="J154" s="7">
        <f t="shared" si="29"/>
        <v>0</v>
      </c>
      <c r="K154" s="3"/>
      <c r="L154" s="8">
        <f t="shared" si="30"/>
        <v>300</v>
      </c>
      <c r="M154" s="3"/>
      <c r="N154" s="7">
        <f t="shared" si="31"/>
        <v>0</v>
      </c>
      <c r="O154" s="12"/>
      <c r="P154" s="8">
        <v>300</v>
      </c>
      <c r="Q154" s="3"/>
      <c r="R154" s="7">
        <f t="shared" si="32"/>
        <v>1.0804034870541139E-4</v>
      </c>
      <c r="S154" s="3"/>
      <c r="T154" s="8"/>
      <c r="U154" s="3"/>
      <c r="V154" s="7">
        <f t="shared" si="33"/>
        <v>0</v>
      </c>
      <c r="W154" s="3"/>
      <c r="X154" s="8">
        <f t="shared" si="34"/>
        <v>300</v>
      </c>
      <c r="Y154" s="3"/>
      <c r="Z154" s="7">
        <f t="shared" si="35"/>
        <v>0</v>
      </c>
    </row>
    <row r="155" spans="1:26" s="68" customFormat="1" ht="15" customHeight="1" outlineLevel="1" collapsed="1" x14ac:dyDescent="0.3">
      <c r="A155" s="25"/>
      <c r="B155" s="14" t="str">
        <f>CONCATENATE("     ","Travel                                            ")</f>
        <v xml:space="preserve">     Travel                                            </v>
      </c>
      <c r="C155" s="14"/>
      <c r="D155" s="2">
        <f>SUM(OSRRefD22_21x_0)</f>
        <v>116.74</v>
      </c>
      <c r="E155" s="2"/>
      <c r="F155" s="6">
        <f t="shared" si="28"/>
        <v>2.193573442375893E-4</v>
      </c>
      <c r="G155" s="2"/>
      <c r="H155" s="2">
        <f>SUM(OSRRefH22_21x_0)</f>
        <v>0</v>
      </c>
      <c r="I155" s="2"/>
      <c r="J155" s="6">
        <f t="shared" si="29"/>
        <v>0</v>
      </c>
      <c r="K155" s="2"/>
      <c r="L155" s="2">
        <f t="shared" si="30"/>
        <v>116.74</v>
      </c>
      <c r="M155" s="2"/>
      <c r="N155" s="6">
        <f t="shared" si="31"/>
        <v>0</v>
      </c>
      <c r="O155" s="14"/>
      <c r="P155" s="2">
        <f>SUM(OSRRefP22_21x_0)</f>
        <v>356.67</v>
      </c>
      <c r="Q155" s="2"/>
      <c r="R155" s="6">
        <f t="shared" si="32"/>
        <v>1.2844917057586362E-4</v>
      </c>
      <c r="S155" s="2"/>
      <c r="T155" s="2">
        <f>SUM(OSRRefT22_21x_0)</f>
        <v>451.26</v>
      </c>
      <c r="U155" s="2"/>
      <c r="V155" s="6">
        <f t="shared" si="33"/>
        <v>3.4417688571614368E-4</v>
      </c>
      <c r="W155" s="2"/>
      <c r="X155" s="2">
        <f t="shared" si="34"/>
        <v>-94.589999999999975</v>
      </c>
      <c r="Y155" s="2"/>
      <c r="Z155" s="6">
        <f t="shared" si="35"/>
        <v>-0.20961308336657355</v>
      </c>
    </row>
    <row r="156" spans="1:26" s="69" customFormat="1" ht="15" hidden="1" customHeight="1" outlineLevel="2" x14ac:dyDescent="0.3">
      <c r="A156" s="26"/>
      <c r="B156" s="12" t="str">
        <f>CONCATENATE("          ","6294"," - ","TRAVEL OPERATIONAL")</f>
        <v xml:space="preserve">          6294 - TRAVEL OPERATIONAL</v>
      </c>
      <c r="C156" s="12"/>
      <c r="D156" s="8">
        <v>116.74</v>
      </c>
      <c r="E156" s="3"/>
      <c r="F156" s="7">
        <f t="shared" si="28"/>
        <v>2.193573442375893E-4</v>
      </c>
      <c r="G156" s="3"/>
      <c r="H156" s="8"/>
      <c r="I156" s="3"/>
      <c r="J156" s="7">
        <f t="shared" si="29"/>
        <v>0</v>
      </c>
      <c r="K156" s="3"/>
      <c r="L156" s="8">
        <f t="shared" si="30"/>
        <v>116.74</v>
      </c>
      <c r="M156" s="3"/>
      <c r="N156" s="7">
        <f t="shared" si="31"/>
        <v>0</v>
      </c>
      <c r="O156" s="12"/>
      <c r="P156" s="8">
        <v>356.67</v>
      </c>
      <c r="Q156" s="3"/>
      <c r="R156" s="7">
        <f t="shared" si="32"/>
        <v>1.2844917057586362E-4</v>
      </c>
      <c r="S156" s="3"/>
      <c r="T156" s="8">
        <v>451.26</v>
      </c>
      <c r="U156" s="3"/>
      <c r="V156" s="7">
        <f t="shared" si="33"/>
        <v>3.4417688571614368E-4</v>
      </c>
      <c r="W156" s="3"/>
      <c r="X156" s="8">
        <f t="shared" si="34"/>
        <v>-94.589999999999975</v>
      </c>
      <c r="Y156" s="3"/>
      <c r="Z156" s="7">
        <f t="shared" si="35"/>
        <v>-0.20961308336657355</v>
      </c>
    </row>
    <row r="157" spans="1:26" s="68" customFormat="1" ht="15" customHeight="1" outlineLevel="1" collapsed="1" x14ac:dyDescent="0.3">
      <c r="A157" s="25"/>
      <c r="B157" s="14" t="str">
        <f>CONCATENATE("     ","Utilities                                         ")</f>
        <v xml:space="preserve">     Utilities                                         </v>
      </c>
      <c r="C157" s="14"/>
      <c r="D157" s="2">
        <f>SUM(OSRRefD22_22x_0)</f>
        <v>355.65</v>
      </c>
      <c r="E157" s="2"/>
      <c r="F157" s="6">
        <f t="shared" si="28"/>
        <v>6.6827513686909914E-4</v>
      </c>
      <c r="G157" s="2"/>
      <c r="H157" s="2">
        <f>SUM(OSRRefH22_22x_0)</f>
        <v>28.14</v>
      </c>
      <c r="I157" s="2"/>
      <c r="J157" s="6">
        <f t="shared" si="29"/>
        <v>2.3388564089278489E-4</v>
      </c>
      <c r="K157" s="2"/>
      <c r="L157" s="2">
        <f t="shared" si="30"/>
        <v>327.51</v>
      </c>
      <c r="M157" s="2"/>
      <c r="N157" s="6">
        <f t="shared" si="31"/>
        <v>11.638592750533048</v>
      </c>
      <c r="O157" s="14"/>
      <c r="P157" s="2">
        <f>SUM(OSRRefP22_22x_0)</f>
        <v>895.07</v>
      </c>
      <c r="Q157" s="2"/>
      <c r="R157" s="6">
        <f t="shared" si="32"/>
        <v>3.2234558305250859E-4</v>
      </c>
      <c r="S157" s="2"/>
      <c r="T157" s="2">
        <f>SUM(OSRRefT22_22x_0)</f>
        <v>205.15</v>
      </c>
      <c r="U157" s="2"/>
      <c r="V157" s="6">
        <f t="shared" si="33"/>
        <v>1.5646830675146672E-4</v>
      </c>
      <c r="W157" s="2"/>
      <c r="X157" s="2">
        <f t="shared" si="34"/>
        <v>689.92000000000007</v>
      </c>
      <c r="Y157" s="2"/>
      <c r="Z157" s="6">
        <f t="shared" si="35"/>
        <v>3.3630026809651477</v>
      </c>
    </row>
    <row r="158" spans="1:26" s="69" customFormat="1" ht="15" hidden="1" customHeight="1" outlineLevel="2" x14ac:dyDescent="0.3">
      <c r="A158" s="26"/>
      <c r="B158" s="12" t="str">
        <f>CONCATENATE("          ","6274"," - ","UTILITIES")</f>
        <v xml:space="preserve">          6274 - UTILITIES</v>
      </c>
      <c r="C158" s="12"/>
      <c r="D158" s="8">
        <v>355.65</v>
      </c>
      <c r="E158" s="3"/>
      <c r="F158" s="7">
        <f t="shared" si="28"/>
        <v>6.6827513686909914E-4</v>
      </c>
      <c r="G158" s="3"/>
      <c r="H158" s="8">
        <v>28.14</v>
      </c>
      <c r="I158" s="3"/>
      <c r="J158" s="7">
        <f t="shared" si="29"/>
        <v>2.3388564089278489E-4</v>
      </c>
      <c r="K158" s="3"/>
      <c r="L158" s="8">
        <f t="shared" si="30"/>
        <v>327.51</v>
      </c>
      <c r="M158" s="3"/>
      <c r="N158" s="7">
        <f t="shared" si="31"/>
        <v>11.638592750533048</v>
      </c>
      <c r="O158" s="12"/>
      <c r="P158" s="8">
        <v>895.07</v>
      </c>
      <c r="Q158" s="3"/>
      <c r="R158" s="7">
        <f t="shared" si="32"/>
        <v>3.2234558305250859E-4</v>
      </c>
      <c r="S158" s="3"/>
      <c r="T158" s="8">
        <v>205.15</v>
      </c>
      <c r="U158" s="3"/>
      <c r="V158" s="7">
        <f t="shared" si="33"/>
        <v>1.5646830675146672E-4</v>
      </c>
      <c r="W158" s="3"/>
      <c r="X158" s="8">
        <f t="shared" si="34"/>
        <v>689.92000000000007</v>
      </c>
      <c r="Y158" s="3"/>
      <c r="Z158" s="7">
        <f t="shared" si="35"/>
        <v>3.3630026809651477</v>
      </c>
    </row>
    <row r="159" spans="1:26" s="64" customFormat="1" ht="15" customHeight="1" x14ac:dyDescent="0.3">
      <c r="A159" s="36"/>
      <c r="B159" s="36"/>
      <c r="C159" s="36"/>
      <c r="D159" s="2"/>
      <c r="E159" s="2"/>
      <c r="F159" s="6"/>
      <c r="G159" s="2"/>
      <c r="H159" s="2"/>
      <c r="I159" s="2"/>
      <c r="J159" s="6"/>
      <c r="K159" s="2"/>
      <c r="L159" s="2"/>
      <c r="M159" s="2"/>
      <c r="N159" s="6"/>
      <c r="O159" s="36"/>
      <c r="P159" s="2"/>
      <c r="Q159" s="2"/>
      <c r="R159" s="6"/>
      <c r="S159" s="2"/>
      <c r="T159" s="2"/>
      <c r="U159" s="2"/>
      <c r="V159" s="6"/>
      <c r="W159" s="2"/>
      <c r="X159" s="2"/>
      <c r="Y159" s="2"/>
      <c r="Z159" s="6"/>
    </row>
    <row r="160" spans="1:26" s="62" customFormat="1" ht="15" customHeight="1" collapsed="1" x14ac:dyDescent="0.3">
      <c r="A160" s="11"/>
      <c r="B160" s="27" t="s">
        <v>290</v>
      </c>
      <c r="C160" s="11"/>
      <c r="D160" s="5">
        <f>SUM(OSRRefD25x_0)</f>
        <v>145</v>
      </c>
      <c r="E160" s="5"/>
      <c r="F160" s="13">
        <f>IF(D$12=0,0,D160/D$12)</f>
        <v>2.7245858244346797E-4</v>
      </c>
      <c r="G160" s="5"/>
      <c r="H160" s="5">
        <f>SUM(OSRRefH25x_0)</f>
        <v>-3986.08</v>
      </c>
      <c r="I160" s="5"/>
      <c r="J160" s="13">
        <f>IF(H$12=0,0,H160/H$12)</f>
        <v>-3.3130308296016771E-2</v>
      </c>
      <c r="K160" s="5"/>
      <c r="L160" s="5">
        <f>+D160-H160</f>
        <v>4131.08</v>
      </c>
      <c r="M160" s="5"/>
      <c r="N160" s="13">
        <f>IF(H160=0,0,L160/H160)</f>
        <v>-1.0363765905350619</v>
      </c>
      <c r="O160" s="11"/>
      <c r="P160" s="5">
        <f>SUM(OSRRefP25x_0)</f>
        <v>158647.37</v>
      </c>
      <c r="Q160" s="5"/>
      <c r="R160" s="13">
        <f>IF(P$12=0,0,P160/P$12)</f>
        <v>5.7134390586654739E-2</v>
      </c>
      <c r="S160" s="5"/>
      <c r="T160" s="5">
        <f>SUM(OSRRefT25x_0)</f>
        <v>217793.07</v>
      </c>
      <c r="U160" s="5"/>
      <c r="V160" s="13">
        <f>IF(T$12=0,0,T160/T$12)</f>
        <v>0.16611120099977414</v>
      </c>
      <c r="W160" s="5"/>
      <c r="X160" s="5">
        <f>+P160-T160</f>
        <v>-59145.700000000012</v>
      </c>
      <c r="Y160" s="5"/>
      <c r="Z160" s="13">
        <f>IF(T160=0,0,X160/T160)</f>
        <v>-0.27156832859741592</v>
      </c>
    </row>
    <row r="161" spans="1:26" s="69" customFormat="1" ht="15" hidden="1" customHeight="1" outlineLevel="1" x14ac:dyDescent="0.3">
      <c r="A161" s="42"/>
      <c r="B161" s="12" t="str">
        <f>CONCATENATE("          ","9150"," - ","MISC. INCOME")</f>
        <v xml:space="preserve">          9150 - MISC. INCOME</v>
      </c>
      <c r="C161" s="12"/>
      <c r="D161" s="3">
        <f>--145</f>
        <v>145</v>
      </c>
      <c r="E161" s="3"/>
      <c r="F161" s="20">
        <f>IF(D$12=0,0,D161/D$12)</f>
        <v>2.7245858244346797E-4</v>
      </c>
      <c r="G161" s="3"/>
      <c r="H161" s="3">
        <f>0</f>
        <v>0</v>
      </c>
      <c r="I161" s="3"/>
      <c r="J161" s="20">
        <f>IF(H$12=0,0,H161/H$12)</f>
        <v>0</v>
      </c>
      <c r="K161" s="3"/>
      <c r="L161" s="3">
        <f>+D161-H161</f>
        <v>145</v>
      </c>
      <c r="M161" s="3"/>
      <c r="N161" s="20">
        <f>IF(H161=0,0,L161/H161)</f>
        <v>0</v>
      </c>
      <c r="O161" s="12"/>
      <c r="P161" s="3">
        <f>--78871.67</f>
        <v>78871.67</v>
      </c>
      <c r="Q161" s="3"/>
      <c r="R161" s="20">
        <f>IF(P$12=0,0,P161/P$12)</f>
        <v>2.8404409099260449E-2</v>
      </c>
      <c r="S161" s="3"/>
      <c r="T161" s="3">
        <f>--46373.31</f>
        <v>46373.31</v>
      </c>
      <c r="U161" s="3"/>
      <c r="V161" s="20">
        <f>IF(T$12=0,0,T161/T$12)</f>
        <v>3.5369014351259366E-2</v>
      </c>
      <c r="W161" s="3"/>
      <c r="X161" s="3">
        <f>+P161-T161</f>
        <v>32498.36</v>
      </c>
      <c r="Y161" s="3"/>
      <c r="Z161" s="20">
        <f>IF(T161=0,0,X161/T161)</f>
        <v>0.7007987999993962</v>
      </c>
    </row>
    <row r="162" spans="1:26" s="69" customFormat="1" ht="15" hidden="1" customHeight="1" outlineLevel="1" x14ac:dyDescent="0.3">
      <c r="A162" s="42"/>
      <c r="B162" s="12" t="str">
        <f>CONCATENATE("          ","9163"," - ","MISC. INCOME")</f>
        <v xml:space="preserve">          9163 - MISC. INCOME</v>
      </c>
      <c r="C162" s="12"/>
      <c r="D162" s="3">
        <f>0</f>
        <v>0</v>
      </c>
      <c r="E162" s="3"/>
      <c r="F162" s="20">
        <f>IF(D$12=0,0,D162/D$12)</f>
        <v>0</v>
      </c>
      <c r="G162" s="3"/>
      <c r="H162" s="3">
        <f>-3986.08</f>
        <v>-3986.08</v>
      </c>
      <c r="I162" s="3"/>
      <c r="J162" s="20">
        <f>IF(H$12=0,0,H162/H$12)</f>
        <v>-3.3130308296016771E-2</v>
      </c>
      <c r="K162" s="3"/>
      <c r="L162" s="3">
        <f>+D162-H162</f>
        <v>3986.08</v>
      </c>
      <c r="M162" s="3"/>
      <c r="N162" s="20">
        <f>IF(H162=0,0,L162/H162)</f>
        <v>-1</v>
      </c>
      <c r="O162" s="12"/>
      <c r="P162" s="3">
        <f>--79775.7</f>
        <v>79775.7</v>
      </c>
      <c r="Q162" s="3"/>
      <c r="R162" s="20">
        <f>IF(P$12=0,0,P162/P$12)</f>
        <v>2.8729981487394293E-2</v>
      </c>
      <c r="S162" s="3"/>
      <c r="T162" s="3">
        <f>--171419.76</f>
        <v>171419.76</v>
      </c>
      <c r="U162" s="3"/>
      <c r="V162" s="20">
        <f>IF(T$12=0,0,T162/T$12)</f>
        <v>0.13074218664851478</v>
      </c>
      <c r="W162" s="3"/>
      <c r="X162" s="3">
        <f>+P162-T162</f>
        <v>-91644.060000000012</v>
      </c>
      <c r="Y162" s="3"/>
      <c r="Z162" s="20">
        <f>IF(T162=0,0,X162/T162)</f>
        <v>-0.53461782935642899</v>
      </c>
    </row>
    <row r="163" spans="1:26" ht="15" customHeight="1" x14ac:dyDescent="0.3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2" customFormat="1" ht="15" customHeight="1" x14ac:dyDescent="0.3">
      <c r="A164" s="11"/>
      <c r="B164" s="28" t="s">
        <v>291</v>
      </c>
      <c r="C164" s="28"/>
      <c r="D164" s="23">
        <f>+D84-D86+D160</f>
        <v>181407.76999999996</v>
      </c>
      <c r="E164" s="15"/>
      <c r="F164" s="22">
        <f>IF(D$12=0,0,D164/D$12)</f>
        <v>0.34086968178228044</v>
      </c>
      <c r="G164" s="15"/>
      <c r="H164" s="23">
        <f>+H84-H86+H160</f>
        <v>-5302.5099999999929</v>
      </c>
      <c r="I164" s="15"/>
      <c r="J164" s="22">
        <f>IF(H$12=0,0,H164/H$12)</f>
        <v>-4.4071817686225985E-2</v>
      </c>
      <c r="K164" s="17"/>
      <c r="L164" s="23">
        <f>+D164-H164</f>
        <v>186710.27999999994</v>
      </c>
      <c r="M164" s="17"/>
      <c r="N164" s="22">
        <f>IF(H164=0,0,L164/H164)</f>
        <v>-35.211678997305086</v>
      </c>
      <c r="O164" s="27"/>
      <c r="P164" s="23">
        <f>+P84-P86+P160</f>
        <v>800702.5699999996</v>
      </c>
      <c r="Q164" s="15"/>
      <c r="R164" s="22">
        <f>IF(P$12=0,0,P164/P$12)</f>
        <v>0.28836061624039677</v>
      </c>
      <c r="S164" s="15"/>
      <c r="T164" s="23">
        <f>+T84-T86+T160</f>
        <v>239734.55999999988</v>
      </c>
      <c r="U164" s="15"/>
      <c r="V164" s="22">
        <f>IF(T$12=0,0,T164/T$12)</f>
        <v>0.18284601839145936</v>
      </c>
      <c r="W164" s="17"/>
      <c r="X164" s="23">
        <f>+P164-T164</f>
        <v>560968.00999999978</v>
      </c>
      <c r="Y164" s="17"/>
      <c r="Z164" s="22">
        <f>IF(T164=0,0,X164/T164)</f>
        <v>2.3399546982295756</v>
      </c>
    </row>
    <row r="165" spans="1:26" ht="15" customHeight="1" x14ac:dyDescent="0.3">
      <c r="A165" s="10"/>
      <c r="B165" s="11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2" customFormat="1" ht="15" customHeight="1" x14ac:dyDescent="0.3">
      <c r="A166" s="48"/>
      <c r="B166" s="11" t="s">
        <v>292</v>
      </c>
      <c r="C166" s="11"/>
      <c r="D166" s="5">
        <v>49495.11</v>
      </c>
      <c r="E166" s="5"/>
      <c r="F166" s="13">
        <f>IF(D$12=0,0,D166/D$12)</f>
        <v>9.3002534541265627E-2</v>
      </c>
      <c r="G166" s="5"/>
      <c r="H166" s="5">
        <v>43486.22</v>
      </c>
      <c r="I166" s="5"/>
      <c r="J166" s="13">
        <f>IF(H$12=0,0,H166/H$12)</f>
        <v>0.36143576527024307</v>
      </c>
      <c r="K166" s="5"/>
      <c r="L166" s="5">
        <f>+D166-H166</f>
        <v>6008.8899999999994</v>
      </c>
      <c r="M166" s="5"/>
      <c r="N166" s="13">
        <f>IF(H166=0,0,L166/H166)</f>
        <v>0.1381791749202391</v>
      </c>
      <c r="O166" s="11"/>
      <c r="P166" s="5">
        <v>346600.25</v>
      </c>
      <c r="Q166" s="5"/>
      <c r="R166" s="13">
        <f>IF(P$12=0,0,P166/P$12)</f>
        <v>0.12482270623794256</v>
      </c>
      <c r="S166" s="5"/>
      <c r="T166" s="5">
        <v>259650.27</v>
      </c>
      <c r="U166" s="5"/>
      <c r="V166" s="13">
        <f>IF(T$12=0,0,T166/T$12)</f>
        <v>0.19803576940999834</v>
      </c>
      <c r="W166" s="5"/>
      <c r="X166" s="5">
        <f>+P166-T166</f>
        <v>86949.98000000001</v>
      </c>
      <c r="Y166" s="5"/>
      <c r="Z166" s="13">
        <f>IF(T166=0,0,X166/T166)</f>
        <v>0.33487344342064429</v>
      </c>
    </row>
    <row r="167" spans="1:26" ht="15" customHeight="1" x14ac:dyDescent="0.3">
      <c r="A167" s="10"/>
      <c r="B167" s="11"/>
      <c r="C167" s="11"/>
      <c r="D167" s="4"/>
      <c r="E167" s="4"/>
      <c r="F167" s="9"/>
      <c r="G167" s="4"/>
      <c r="H167" s="4"/>
      <c r="I167" s="4"/>
      <c r="J167" s="9"/>
      <c r="K167" s="4"/>
      <c r="L167" s="4"/>
      <c r="M167" s="4"/>
      <c r="N167" s="9"/>
      <c r="O167" s="11"/>
      <c r="P167" s="4"/>
      <c r="Q167" s="4"/>
      <c r="R167" s="9"/>
      <c r="S167" s="4"/>
      <c r="T167" s="4"/>
      <c r="U167" s="4"/>
      <c r="V167" s="9"/>
      <c r="W167" s="4"/>
      <c r="X167" s="4"/>
      <c r="Y167" s="4"/>
      <c r="Z167" s="9"/>
    </row>
    <row r="168" spans="1:26" s="62" customFormat="1" ht="15" customHeight="1" x14ac:dyDescent="0.3">
      <c r="A168" s="11"/>
      <c r="B168" s="28" t="s">
        <v>293</v>
      </c>
      <c r="C168" s="28"/>
      <c r="D168" s="33">
        <f>+D164-D166</f>
        <v>131912.65999999997</v>
      </c>
      <c r="E168" s="15"/>
      <c r="F168" s="34">
        <f>IF(D$12=0,0,D168/D$12)</f>
        <v>0.24786714724101483</v>
      </c>
      <c r="G168" s="15"/>
      <c r="H168" s="33">
        <f>+H164-H166</f>
        <v>-48788.729999999996</v>
      </c>
      <c r="I168" s="15"/>
      <c r="J168" s="34">
        <f>IF(H$12=0,0,H168/H$12)</f>
        <v>-0.4055075829564691</v>
      </c>
      <c r="K168" s="17"/>
      <c r="L168" s="33">
        <f>D168-H168</f>
        <v>180701.38999999996</v>
      </c>
      <c r="M168" s="17"/>
      <c r="N168" s="34">
        <f>IF(H168=0,0,L168/H168)</f>
        <v>-3.7037526904266613</v>
      </c>
      <c r="O168" s="27"/>
      <c r="P168" s="33">
        <f>+P164-P166</f>
        <v>454102.3199999996</v>
      </c>
      <c r="Q168" s="15"/>
      <c r="R168" s="34">
        <f>IF(P$12=0,0,P168/P$12)</f>
        <v>0.16353791000245424</v>
      </c>
      <c r="S168" s="15"/>
      <c r="T168" s="33">
        <f>+T164-T166</f>
        <v>-19915.710000000108</v>
      </c>
      <c r="U168" s="15"/>
      <c r="V168" s="34">
        <f>IF(T$12=0,0,T168/T$12)</f>
        <v>-1.5189751018538974E-2</v>
      </c>
      <c r="W168" s="17"/>
      <c r="X168" s="33">
        <f>P168-T168</f>
        <v>474018.02999999968</v>
      </c>
      <c r="Y168" s="17"/>
      <c r="Z168" s="34">
        <f>IF(T168=0,0,X168/T168)</f>
        <v>-23.801211706737902</v>
      </c>
    </row>
    <row r="169" spans="1:26" ht="15" customHeight="1" x14ac:dyDescent="0.3">
      <c r="A169" s="10"/>
      <c r="B169" s="10"/>
      <c r="C169" s="10"/>
      <c r="D169" s="4"/>
      <c r="E169" s="4"/>
      <c r="F169" s="9"/>
      <c r="G169" s="4"/>
      <c r="H169" s="4"/>
      <c r="I169" s="4"/>
      <c r="J169" s="9"/>
      <c r="K169" s="4"/>
      <c r="L169" s="4"/>
      <c r="M169" s="4"/>
      <c r="N169" s="9"/>
      <c r="P169" s="4"/>
      <c r="Q169" s="4"/>
      <c r="R169" s="9"/>
      <c r="S169" s="4"/>
      <c r="T169" s="4"/>
      <c r="U169" s="4"/>
      <c r="V169" s="9"/>
      <c r="W169" s="4"/>
      <c r="X169" s="4"/>
      <c r="Y169" s="4"/>
      <c r="Z169" s="9"/>
    </row>
    <row r="170" spans="1:26" ht="15" customHeight="1" x14ac:dyDescent="0.3">
      <c r="A170" s="10"/>
      <c r="B170" s="10"/>
      <c r="C170" s="10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s="62" customFormat="1" ht="15" customHeight="1" x14ac:dyDescent="0.3">
      <c r="A171" s="11"/>
      <c r="B171" s="28" t="s">
        <v>296</v>
      </c>
      <c r="C171" s="28"/>
      <c r="D171" s="35">
        <f>SUM(D168:D170)</f>
        <v>131912.65999999997</v>
      </c>
      <c r="E171" s="15"/>
      <c r="F171" s="29">
        <f>IF(D$12=0,0,D171/D$12)</f>
        <v>0.24786714724101483</v>
      </c>
      <c r="G171" s="15"/>
      <c r="H171" s="35">
        <f>SUM(H168:H170)</f>
        <v>-48788.729999999996</v>
      </c>
      <c r="I171" s="15"/>
      <c r="J171" s="29">
        <f>IF(H$12=0,0,H171/H$12)</f>
        <v>-0.4055075829564691</v>
      </c>
      <c r="K171" s="17"/>
      <c r="L171" s="35">
        <f>+D171-H171</f>
        <v>180701.38999999996</v>
      </c>
      <c r="M171" s="17"/>
      <c r="N171" s="29">
        <f>IF(H171=0,0,L171/H171)</f>
        <v>-3.7037526904266613</v>
      </c>
      <c r="O171" s="27"/>
      <c r="P171" s="35">
        <f>SUM(P168:P170)</f>
        <v>454102.3199999996</v>
      </c>
      <c r="Q171" s="15"/>
      <c r="R171" s="29">
        <f>IF(P$12=0,0,P171/P$12)</f>
        <v>0.16353791000245424</v>
      </c>
      <c r="S171" s="15"/>
      <c r="T171" s="35">
        <f>SUM(T168:T170)</f>
        <v>-19915.710000000108</v>
      </c>
      <c r="U171" s="15"/>
      <c r="V171" s="29">
        <f>IF(T$12=0,0,T171/T$12)</f>
        <v>-1.5189751018538974E-2</v>
      </c>
      <c r="W171" s="17"/>
      <c r="X171" s="35">
        <f>+P171-T171</f>
        <v>474018.02999999968</v>
      </c>
      <c r="Y171" s="17"/>
      <c r="Z171" s="29">
        <f>IF(T171=0,0,X171/T171)</f>
        <v>-23.801211706737902</v>
      </c>
    </row>
    <row r="172" spans="1:26" ht="15" customHeight="1" x14ac:dyDescent="0.3">
      <c r="A172" s="10"/>
      <c r="C172" s="10"/>
      <c r="D172" s="18"/>
      <c r="E172" s="18"/>
      <c r="G172" s="18"/>
      <c r="H172" s="18"/>
      <c r="I172" s="18"/>
      <c r="J172" s="41"/>
      <c r="K172" s="18"/>
      <c r="L172" s="18"/>
      <c r="M172" s="18"/>
      <c r="P172" s="18"/>
      <c r="Q172" s="18"/>
      <c r="R172" s="41"/>
      <c r="S172" s="18"/>
      <c r="T172" s="18"/>
      <c r="U172" s="18"/>
      <c r="V172" s="41"/>
      <c r="W172" s="18"/>
      <c r="X172" s="18"/>
    </row>
    <row r="173" spans="1:26" ht="15" customHeight="1" x14ac:dyDescent="0.3">
      <c r="A173" s="10"/>
      <c r="B173" s="50">
        <v>44634.887729942129</v>
      </c>
      <c r="D173" s="18"/>
      <c r="E173" s="18"/>
      <c r="G173" s="18"/>
      <c r="H173" s="18"/>
      <c r="I173" s="18"/>
      <c r="J173" s="41"/>
      <c r="K173" s="18"/>
      <c r="L173" s="18"/>
      <c r="M173" s="18"/>
      <c r="P173" s="18"/>
      <c r="Q173" s="18"/>
      <c r="R173" s="41"/>
      <c r="S173" s="18"/>
      <c r="T173" s="18"/>
      <c r="U173" s="18"/>
      <c r="V173" s="41"/>
      <c r="W173" s="18"/>
      <c r="X173" s="18"/>
    </row>
    <row r="174" spans="1:26" ht="15" customHeight="1" x14ac:dyDescent="0.3">
      <c r="A174" s="10"/>
      <c r="B174" s="58" t="s">
        <v>297</v>
      </c>
      <c r="D174" s="18"/>
      <c r="E174" s="18"/>
      <c r="G174" s="18"/>
      <c r="H174" s="18"/>
      <c r="I174" s="18"/>
      <c r="J174" s="41"/>
      <c r="K174" s="18"/>
      <c r="L174" s="18"/>
      <c r="M174" s="18"/>
      <c r="P174" s="18"/>
      <c r="Q174" s="18"/>
      <c r="R174" s="41"/>
      <c r="S174" s="18"/>
      <c r="T174" s="18"/>
      <c r="U174" s="18"/>
      <c r="V174" s="41"/>
      <c r="W174" s="18"/>
      <c r="X174" s="18"/>
    </row>
    <row r="175" spans="1:26" ht="15" customHeight="1" x14ac:dyDescent="0.3">
      <c r="A175" s="10"/>
      <c r="B175" s="56"/>
      <c r="D175" s="18"/>
      <c r="E175" s="18"/>
      <c r="G175" s="18"/>
      <c r="H175" s="18"/>
      <c r="I175" s="18"/>
      <c r="J175" s="41"/>
      <c r="K175" s="18"/>
      <c r="L175" s="18"/>
      <c r="M175" s="18"/>
      <c r="P175" s="18"/>
      <c r="Q175" s="18"/>
      <c r="R175" s="41"/>
      <c r="S175" s="18"/>
      <c r="T175" s="18"/>
      <c r="U175" s="18"/>
      <c r="V175" s="41"/>
      <c r="W175" s="18"/>
      <c r="X175" s="18"/>
    </row>
    <row r="176" spans="1:26" ht="15" customHeight="1" x14ac:dyDescent="0.3">
      <c r="D176" s="18"/>
      <c r="E176" s="18"/>
      <c r="G176" s="18"/>
      <c r="H176" s="18"/>
      <c r="I176" s="18"/>
      <c r="J176" s="41"/>
      <c r="K176" s="18"/>
      <c r="L176" s="18"/>
      <c r="M176" s="18"/>
      <c r="P176" s="18"/>
      <c r="Q176" s="18"/>
      <c r="R176" s="41"/>
      <c r="S176" s="18"/>
      <c r="T176" s="18"/>
      <c r="U176" s="18"/>
      <c r="V176" s="41"/>
      <c r="W176" s="18"/>
      <c r="X176" s="18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83EC5-8A79-A342-04DB-7C9E251CCF25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5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","307"," - ","Art Store")</f>
        <v>Department 307 - Art Store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43788.46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 t="shared" ref="L12:L25" si="0">+D12-H12</f>
        <v>43788.46</v>
      </c>
      <c r="M12" s="5"/>
      <c r="N12" s="13">
        <f t="shared" ref="N12:N25" si="1">IF(H12=0,0,L12/H12)</f>
        <v>0</v>
      </c>
      <c r="O12" s="11"/>
      <c r="P12" s="5">
        <f>SUM(OSRRefP13x_0)</f>
        <v>143724.24000000002</v>
      </c>
      <c r="Q12" s="5"/>
      <c r="R12" s="13"/>
      <c r="S12" s="5"/>
      <c r="T12" s="5">
        <f>SUM(OSRRefT13x_0)</f>
        <v>21311.919999999998</v>
      </c>
      <c r="U12" s="5"/>
      <c r="V12" s="13"/>
      <c r="W12" s="5"/>
      <c r="X12" s="5">
        <f t="shared" ref="X12:X25" si="2">+P12-T12</f>
        <v>122412.32000000002</v>
      </c>
      <c r="Y12" s="5"/>
      <c r="Z12" s="13">
        <f t="shared" ref="Z12:Z25" si="3">IF(T12=0,0,X12/T12)</f>
        <v>5.7438428822931034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--30152.61</f>
        <v>30152.61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30152.61</v>
      </c>
      <c r="M13" s="3"/>
      <c r="N13" s="20">
        <f t="shared" si="1"/>
        <v>0</v>
      </c>
      <c r="O13" s="12"/>
      <c r="P13" s="3">
        <f>--105691.21</f>
        <v>105691.21</v>
      </c>
      <c r="Q13" s="3"/>
      <c r="R13" s="20"/>
      <c r="S13" s="3"/>
      <c r="T13" s="3">
        <f>-1096.44</f>
        <v>-1096.44</v>
      </c>
      <c r="U13" s="3"/>
      <c r="V13" s="20"/>
      <c r="W13" s="3"/>
      <c r="X13" s="3">
        <f t="shared" si="2"/>
        <v>106787.65000000001</v>
      </c>
      <c r="Y13" s="3"/>
      <c r="Z13" s="20">
        <f t="shared" si="3"/>
        <v>-97.394887089124808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--17.51</f>
        <v>17.510000000000002</v>
      </c>
      <c r="U14" s="3"/>
      <c r="V14" s="20"/>
      <c r="W14" s="3"/>
      <c r="X14" s="3">
        <f t="shared" si="2"/>
        <v>-17.510000000000002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--7990.32</f>
        <v>7990.32</v>
      </c>
      <c r="U15" s="3"/>
      <c r="V15" s="20"/>
      <c r="W15" s="3"/>
      <c r="X15" s="3">
        <f t="shared" si="2"/>
        <v>-7990.32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--12479.05</f>
        <v>12479.05</v>
      </c>
      <c r="U16" s="3"/>
      <c r="V16" s="20"/>
      <c r="W16" s="3"/>
      <c r="X16" s="3">
        <f t="shared" si="2"/>
        <v>-12479.05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--374.55</f>
        <v>374.55</v>
      </c>
      <c r="U17" s="3"/>
      <c r="V17" s="20"/>
      <c r="W17" s="3"/>
      <c r="X17" s="3">
        <f t="shared" si="2"/>
        <v>-374.55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","4081"," - ","TAXABLE SALES-ELECTRONICS")</f>
        <v xml:space="preserve">          4081 - TAXABLE SALES-ELECTRONICS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--71.95</f>
        <v>71.95</v>
      </c>
      <c r="U18" s="3"/>
      <c r="V18" s="20"/>
      <c r="W18" s="3"/>
      <c r="X18" s="3">
        <f t="shared" si="2"/>
        <v>-71.95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","4083"," - ","TAXABLE SALES-COMPUTER EQUIPME")</f>
        <v xml:space="preserve">          4083 - TAXABLE SALES-COMPUTER EQUIPME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--9.99</f>
        <v>9.99</v>
      </c>
      <c r="U19" s="3"/>
      <c r="V19" s="20"/>
      <c r="W19" s="3"/>
      <c r="X19" s="3">
        <f t="shared" si="2"/>
        <v>-9.99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--14257.33</f>
        <v>14257.33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14257.33</v>
      </c>
      <c r="M20" s="3"/>
      <c r="N20" s="20">
        <f t="shared" si="1"/>
        <v>0</v>
      </c>
      <c r="O20" s="12"/>
      <c r="P20" s="3">
        <f>--41578.54</f>
        <v>41578.54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41578.54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","4131"," - ","NON-TAXABLE SALES-FOOD")</f>
        <v xml:space="preserve">          4131 - NON-TAXABLE SALES-FOOD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--1847.16</f>
        <v>1847.16</v>
      </c>
      <c r="U21" s="3"/>
      <c r="V21" s="20"/>
      <c r="W21" s="3"/>
      <c r="X21" s="3">
        <f t="shared" si="2"/>
        <v>-1847.16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","4200"," - ","TAXABLE RETURNS")</f>
        <v xml:space="preserve">          4200 - TAXABLE RETURNS</v>
      </c>
      <c r="C22" s="12"/>
      <c r="D22" s="3">
        <f>-455.26</f>
        <v>-455.26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-455.26</v>
      </c>
      <c r="M22" s="3"/>
      <c r="N22" s="20">
        <f t="shared" si="1"/>
        <v>0</v>
      </c>
      <c r="O22" s="12"/>
      <c r="P22" s="3">
        <f>-1673.11</f>
        <v>-1673.11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-1673.11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","4227"," - ","SALES RETURN TAXABLE-SCHOOL SU")</f>
        <v xml:space="preserve">          4227 - SALES RETURN TAXABLE-SCHOOL SU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-159.97</f>
        <v>-159.97</v>
      </c>
      <c r="U23" s="3"/>
      <c r="V23" s="20"/>
      <c r="W23" s="3"/>
      <c r="X23" s="3">
        <f t="shared" si="2"/>
        <v>159.97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","4228"," - ","SALES RETURN TAXABLE-ART/TECH")</f>
        <v xml:space="preserve">          4228 - SALES RETURN TAXABLE-ART/TECH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-222.2</f>
        <v>-222.2</v>
      </c>
      <c r="U24" s="3"/>
      <c r="V24" s="20"/>
      <c r="W24" s="3"/>
      <c r="X24" s="3">
        <f t="shared" si="2"/>
        <v>222.2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","4500"," - ","SALES DISCOUNT")</f>
        <v xml:space="preserve">          4500 - SALES DISCOUNT</v>
      </c>
      <c r="C25" s="12"/>
      <c r="D25" s="3">
        <f>-166.22</f>
        <v>-166.22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-166.22</v>
      </c>
      <c r="M25" s="3"/>
      <c r="N25" s="20">
        <f t="shared" si="1"/>
        <v>0</v>
      </c>
      <c r="O25" s="12"/>
      <c r="P25" s="3">
        <f>-1872.4</f>
        <v>-1872.4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-1872.4</v>
      </c>
      <c r="Y25" s="3"/>
      <c r="Z25" s="20">
        <f t="shared" si="3"/>
        <v>0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24480.45</v>
      </c>
      <c r="E27" s="5"/>
      <c r="F27" s="13">
        <f t="shared" ref="F27:F37" si="4">IF(D$12=0,0,D27/D$12)</f>
        <v>0.55906167972109544</v>
      </c>
      <c r="G27" s="5"/>
      <c r="H27" s="5">
        <f>SUM(OSRRefH16x_0)</f>
        <v>12.76</v>
      </c>
      <c r="I27" s="5"/>
      <c r="J27" s="13">
        <f t="shared" ref="J27:J37" si="5">IF(H$12=0,0,H27/H$12)</f>
        <v>0</v>
      </c>
      <c r="K27" s="5"/>
      <c r="L27" s="5">
        <f t="shared" ref="L27:L37" si="6">+D27-H27</f>
        <v>24467.690000000002</v>
      </c>
      <c r="M27" s="5"/>
      <c r="N27" s="13">
        <f t="shared" ref="N27:N37" si="7">IF(H27=0,0,L27/H27)</f>
        <v>1917.5305642633232</v>
      </c>
      <c r="O27" s="11"/>
      <c r="P27" s="5">
        <f>SUM(OSRRefP16x_0)</f>
        <v>81718.94</v>
      </c>
      <c r="Q27" s="5"/>
      <c r="R27" s="13">
        <f t="shared" ref="R27:R37" si="8">IF(P$12=0,0,P27/P$12)</f>
        <v>0.56858147240855117</v>
      </c>
      <c r="S27" s="5"/>
      <c r="T27" s="5">
        <f>SUM(OSRRefT16x_0)</f>
        <v>13743.019999999993</v>
      </c>
      <c r="U27" s="5"/>
      <c r="V27" s="13">
        <f t="shared" ref="V27:V37" si="9">IF(T$12=0,0,T27/T$12)</f>
        <v>0.64485133202451939</v>
      </c>
      <c r="W27" s="5"/>
      <c r="X27" s="5">
        <f t="shared" ref="X27:X37" si="10">+P27-T27</f>
        <v>67975.920000000013</v>
      </c>
      <c r="Y27" s="5"/>
      <c r="Z27" s="13">
        <f t="shared" ref="Z27:Z37" si="11">IF(T27=0,0,X27/T27)</f>
        <v>4.9462141508926019</v>
      </c>
    </row>
    <row r="28" spans="1:26" s="69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5459.01</v>
      </c>
      <c r="E28" s="3"/>
      <c r="F28" s="20">
        <f t="shared" si="4"/>
        <v>0.12466777776610551</v>
      </c>
      <c r="G28" s="3"/>
      <c r="H28" s="3"/>
      <c r="I28" s="3"/>
      <c r="J28" s="20">
        <f t="shared" si="5"/>
        <v>0</v>
      </c>
      <c r="K28" s="3"/>
      <c r="L28" s="3">
        <f t="shared" si="6"/>
        <v>5459.01</v>
      </c>
      <c r="M28" s="3"/>
      <c r="N28" s="20">
        <f t="shared" si="7"/>
        <v>0</v>
      </c>
      <c r="O28" s="12"/>
      <c r="P28" s="3">
        <v>107666.44</v>
      </c>
      <c r="Q28" s="3"/>
      <c r="R28" s="20">
        <f t="shared" si="8"/>
        <v>0.74911817241127865</v>
      </c>
      <c r="S28" s="3"/>
      <c r="T28" s="3"/>
      <c r="U28" s="3"/>
      <c r="V28" s="20">
        <f t="shared" si="9"/>
        <v>0</v>
      </c>
      <c r="W28" s="3"/>
      <c r="X28" s="3">
        <f t="shared" si="10"/>
        <v>107666.44</v>
      </c>
      <c r="Y28" s="3"/>
      <c r="Z28" s="20">
        <f t="shared" si="11"/>
        <v>0</v>
      </c>
    </row>
    <row r="29" spans="1:26" s="69" customFormat="1" ht="15" hidden="1" customHeight="1" outlineLevel="1" x14ac:dyDescent="0.3">
      <c r="A29" s="42"/>
      <c r="B29" s="12" t="str">
        <f>CONCATENATE("          ","5026"," - ","PURCHASES @ COST-WRITING INSTR")</f>
        <v xml:space="preserve">          5026 - PURCHASES @ COST-WRITING INSTR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>
        <v>364.91</v>
      </c>
      <c r="U29" s="3"/>
      <c r="V29" s="20">
        <f t="shared" si="9"/>
        <v>1.7122342801587094E-2</v>
      </c>
      <c r="W29" s="3"/>
      <c r="X29" s="3">
        <f t="shared" si="10"/>
        <v>-364.91</v>
      </c>
      <c r="Y29" s="3"/>
      <c r="Z29" s="20">
        <f t="shared" si="11"/>
        <v>-1</v>
      </c>
    </row>
    <row r="30" spans="1:26" s="69" customFormat="1" ht="15" hidden="1" customHeight="1" outlineLevel="1" x14ac:dyDescent="0.3">
      <c r="A30" s="42"/>
      <c r="B30" s="12" t="str">
        <f>CONCATENATE("          ","5027"," - ","PURCHASES @ COST-SCHOOL SUPPLI")</f>
        <v xml:space="preserve">          5027 - PURCHASES @ COST-SCHOOL SUPPLI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>
        <v>895.47</v>
      </c>
      <c r="U30" s="3"/>
      <c r="V30" s="20">
        <f t="shared" si="9"/>
        <v>4.201733114613794E-2</v>
      </c>
      <c r="W30" s="3"/>
      <c r="X30" s="3">
        <f t="shared" si="10"/>
        <v>-895.47</v>
      </c>
      <c r="Y30" s="3"/>
      <c r="Z30" s="20">
        <f t="shared" si="11"/>
        <v>-1</v>
      </c>
    </row>
    <row r="31" spans="1:26" s="69" customFormat="1" ht="15" hidden="1" customHeight="1" outlineLevel="1" x14ac:dyDescent="0.3">
      <c r="A31" s="42"/>
      <c r="B31" s="12" t="str">
        <f>CONCATENATE("          ","5028"," - ","PURCHASES @ COST-ART/TECH")</f>
        <v xml:space="preserve">          5028 - PURCHASES @ COST-ART/TECH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>
        <v>41441.85</v>
      </c>
      <c r="U31" s="3"/>
      <c r="V31" s="20">
        <f t="shared" si="9"/>
        <v>1.9445385493188789</v>
      </c>
      <c r="W31" s="3"/>
      <c r="X31" s="3">
        <f t="shared" si="10"/>
        <v>-41441.85</v>
      </c>
      <c r="Y31" s="3"/>
      <c r="Z31" s="20">
        <f t="shared" si="11"/>
        <v>-1</v>
      </c>
    </row>
    <row r="32" spans="1:26" s="69" customFormat="1" ht="15" hidden="1" customHeight="1" outlineLevel="1" x14ac:dyDescent="0.3">
      <c r="A32" s="42"/>
      <c r="B32" s="12" t="str">
        <f>CONCATENATE("          ","5031"," - ","PURCHASES @ COST-FOOD")</f>
        <v xml:space="preserve">          5031 - PURCHASES @ COST-FOOD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>
        <v>2441.5700000000002</v>
      </c>
      <c r="U32" s="3"/>
      <c r="V32" s="20">
        <f t="shared" si="9"/>
        <v>0.11456358695040149</v>
      </c>
      <c r="W32" s="3"/>
      <c r="X32" s="3">
        <f t="shared" si="10"/>
        <v>-2441.5700000000002</v>
      </c>
      <c r="Y32" s="3"/>
      <c r="Z32" s="20">
        <f t="shared" si="11"/>
        <v>-1</v>
      </c>
    </row>
    <row r="33" spans="1:26" s="69" customFormat="1" ht="15" hidden="1" customHeight="1" outlineLevel="1" x14ac:dyDescent="0.3">
      <c r="A33" s="42"/>
      <c r="B33" s="12" t="str">
        <f>CONCATENATE("          ","5042"," - ","PURCHASES @ COST-EVERYDAY GIFT")</f>
        <v xml:space="preserve">          5042 - PURCHASES @ COST-EVERYDAY GIFT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69" customFormat="1" ht="15" hidden="1" customHeight="1" outlineLevel="1" x14ac:dyDescent="0.3">
      <c r="A34" s="42"/>
      <c r="B34" s="12" t="str">
        <f>CONCATENATE("          ","5200"," - ","PURCHASES OFFSET")</f>
        <v xml:space="preserve">          5200 - PURCHASES OFFSET</v>
      </c>
      <c r="C34" s="12"/>
      <c r="D34" s="3">
        <v>-5459.01</v>
      </c>
      <c r="E34" s="3"/>
      <c r="F34" s="20">
        <f t="shared" si="4"/>
        <v>-0.12466777776610551</v>
      </c>
      <c r="G34" s="3"/>
      <c r="H34" s="3"/>
      <c r="I34" s="3"/>
      <c r="J34" s="20">
        <f t="shared" si="5"/>
        <v>0</v>
      </c>
      <c r="K34" s="3"/>
      <c r="L34" s="3">
        <f t="shared" si="6"/>
        <v>-5459.01</v>
      </c>
      <c r="M34" s="3"/>
      <c r="N34" s="20">
        <f t="shared" si="7"/>
        <v>0</v>
      </c>
      <c r="O34" s="12"/>
      <c r="P34" s="3">
        <v>-108794.14</v>
      </c>
      <c r="Q34" s="3"/>
      <c r="R34" s="20">
        <f t="shared" si="8"/>
        <v>-0.75696444802908669</v>
      </c>
      <c r="S34" s="3"/>
      <c r="T34" s="3">
        <v>-45863.33</v>
      </c>
      <c r="U34" s="3"/>
      <c r="V34" s="20">
        <f t="shared" si="9"/>
        <v>-2.1520036674311842</v>
      </c>
      <c r="W34" s="3"/>
      <c r="X34" s="3">
        <f t="shared" si="10"/>
        <v>-62930.81</v>
      </c>
      <c r="Y34" s="3"/>
      <c r="Z34" s="20">
        <f t="shared" si="11"/>
        <v>1.372137827759127</v>
      </c>
    </row>
    <row r="35" spans="1:26" s="69" customFormat="1" ht="15" hidden="1" customHeight="1" outlineLevel="1" x14ac:dyDescent="0.3">
      <c r="A35" s="42"/>
      <c r="B35" s="12" t="str">
        <f>CONCATENATE("          ","5300"," - ","COG$ OFFSET")</f>
        <v xml:space="preserve">          5300 - COG$ OFFSET</v>
      </c>
      <c r="C35" s="12"/>
      <c r="D35" s="3">
        <v>24480.45</v>
      </c>
      <c r="E35" s="3"/>
      <c r="F35" s="20">
        <f t="shared" si="4"/>
        <v>0.55906167972109544</v>
      </c>
      <c r="G35" s="3"/>
      <c r="H35" s="3"/>
      <c r="I35" s="3"/>
      <c r="J35" s="20">
        <f t="shared" si="5"/>
        <v>0</v>
      </c>
      <c r="K35" s="3"/>
      <c r="L35" s="3">
        <f t="shared" si="6"/>
        <v>24480.45</v>
      </c>
      <c r="M35" s="3"/>
      <c r="N35" s="20">
        <f t="shared" si="7"/>
        <v>0</v>
      </c>
      <c r="O35" s="12"/>
      <c r="P35" s="3">
        <v>81718.94</v>
      </c>
      <c r="Q35" s="3"/>
      <c r="R35" s="20">
        <f t="shared" si="8"/>
        <v>0.56858147240855117</v>
      </c>
      <c r="S35" s="3"/>
      <c r="T35" s="3">
        <v>14145</v>
      </c>
      <c r="U35" s="3"/>
      <c r="V35" s="20">
        <f t="shared" si="9"/>
        <v>0.66371307700103988</v>
      </c>
      <c r="W35" s="3"/>
      <c r="X35" s="3">
        <f t="shared" si="10"/>
        <v>67573.94</v>
      </c>
      <c r="Y35" s="3"/>
      <c r="Z35" s="20">
        <f t="shared" si="11"/>
        <v>4.7772315305761754</v>
      </c>
    </row>
    <row r="36" spans="1:26" s="69" customFormat="1" ht="15" hidden="1" customHeight="1" outlineLevel="1" x14ac:dyDescent="0.3">
      <c r="A36" s="42"/>
      <c r="B36" s="12" t="str">
        <f>CONCATENATE("          ","5500"," - ","FREIGHT-IN")</f>
        <v xml:space="preserve">          5500 - FREIGHT-IN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1127.7</v>
      </c>
      <c r="Q36" s="3"/>
      <c r="R36" s="20">
        <f t="shared" si="8"/>
        <v>7.8462756178081013E-3</v>
      </c>
      <c r="S36" s="3"/>
      <c r="T36" s="3"/>
      <c r="U36" s="3"/>
      <c r="V36" s="20">
        <f t="shared" si="9"/>
        <v>0</v>
      </c>
      <c r="W36" s="3"/>
      <c r="X36" s="3">
        <f t="shared" si="10"/>
        <v>1127.7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","5528"," - ","FREIGHT-IN-ART/TECH")</f>
        <v xml:space="preserve">          5528 - FREIGHT-IN-ART/TECH</v>
      </c>
      <c r="C37" s="12"/>
      <c r="D37" s="3"/>
      <c r="E37" s="3"/>
      <c r="F37" s="20">
        <f t="shared" si="4"/>
        <v>0</v>
      </c>
      <c r="G37" s="3"/>
      <c r="H37" s="3">
        <v>12.76</v>
      </c>
      <c r="I37" s="3"/>
      <c r="J37" s="20">
        <f t="shared" si="5"/>
        <v>0</v>
      </c>
      <c r="K37" s="3"/>
      <c r="L37" s="3">
        <f t="shared" si="6"/>
        <v>-12.76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317.55</v>
      </c>
      <c r="U37" s="3"/>
      <c r="V37" s="20">
        <f t="shared" si="9"/>
        <v>1.4900112237658551E-2</v>
      </c>
      <c r="W37" s="3"/>
      <c r="X37" s="3">
        <f t="shared" si="10"/>
        <v>-317.55</v>
      </c>
      <c r="Y37" s="3"/>
      <c r="Z37" s="20">
        <f t="shared" si="11"/>
        <v>-1</v>
      </c>
    </row>
    <row r="38" spans="1:26" ht="15" customHeight="1" x14ac:dyDescent="0.3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288</v>
      </c>
      <c r="C39" s="28"/>
      <c r="D39" s="23">
        <f>D12-D27</f>
        <v>19308.009999999998</v>
      </c>
      <c r="E39" s="15"/>
      <c r="F39" s="22">
        <f>IF(D$12=0,0,D39/D$12)</f>
        <v>0.44093832027890451</v>
      </c>
      <c r="G39" s="15"/>
      <c r="H39" s="23">
        <f>H12-H27</f>
        <v>-12.76</v>
      </c>
      <c r="I39" s="15"/>
      <c r="J39" s="22">
        <f>IF(H$12=0,0,H39/H$12)</f>
        <v>0</v>
      </c>
      <c r="K39" s="17"/>
      <c r="L39" s="23">
        <f>+D39-H39</f>
        <v>19320.769999999997</v>
      </c>
      <c r="M39" s="17"/>
      <c r="N39" s="22">
        <f>IF(H39=0,0,L39/H39)</f>
        <v>-1514.1669278996862</v>
      </c>
      <c r="O39" s="27"/>
      <c r="P39" s="23">
        <f>P12-P27</f>
        <v>62005.300000000017</v>
      </c>
      <c r="Q39" s="15"/>
      <c r="R39" s="22">
        <f>IF(P$12=0,0,P39/P$12)</f>
        <v>0.43141852759144877</v>
      </c>
      <c r="S39" s="15"/>
      <c r="T39" s="23">
        <f>T12-T27</f>
        <v>7568.9000000000051</v>
      </c>
      <c r="U39" s="15"/>
      <c r="V39" s="22">
        <f>IF(T$12=0,0,T39/T$12)</f>
        <v>0.35514866797548067</v>
      </c>
      <c r="W39" s="17"/>
      <c r="X39" s="23">
        <f>+P39-T39</f>
        <v>54436.400000000009</v>
      </c>
      <c r="Y39" s="17"/>
      <c r="Z39" s="22">
        <f>IF(T39=0,0,X39/T39)</f>
        <v>7.1921151025908614</v>
      </c>
    </row>
    <row r="40" spans="1:26" ht="15" customHeight="1" x14ac:dyDescent="0.3">
      <c r="A40" s="10"/>
      <c r="B40" s="11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3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62" customFormat="1" ht="15" customHeight="1" x14ac:dyDescent="0.3">
      <c r="A41" s="11"/>
      <c r="B41" s="27" t="s">
        <v>289</v>
      </c>
      <c r="C41" s="11"/>
      <c r="D41" s="21" cm="1">
        <f t="array" ref="D41">SUM(OSRRefD22x_0)</f>
        <v>7086.5800000000008</v>
      </c>
      <c r="E41" s="21"/>
      <c r="F41" s="30">
        <f t="shared" ref="F41:F80" si="12">IF(D$12=0,0,D41/D$12)</f>
        <v>0.16183670309483369</v>
      </c>
      <c r="G41" s="21"/>
      <c r="H41" s="21" cm="1">
        <f t="array" ref="H41">SUM(OSRRefH22x_0)</f>
        <v>53</v>
      </c>
      <c r="I41" s="21"/>
      <c r="J41" s="30">
        <f t="shared" ref="J41:J80" si="13">IF(H$12=0,0,H41/H$12)</f>
        <v>0</v>
      </c>
      <c r="K41" s="5"/>
      <c r="L41" s="21">
        <f t="shared" ref="L41:L80" si="14">+D41-H41</f>
        <v>7033.5800000000008</v>
      </c>
      <c r="M41" s="5"/>
      <c r="N41" s="30">
        <f t="shared" ref="N41:N80" si="15">IF(H41=0,0,L41/H41)</f>
        <v>132.7090566037736</v>
      </c>
      <c r="O41" s="11"/>
      <c r="P41" s="21" cm="1">
        <f t="array" ref="P41">SUM(OSRRefP22x_0)</f>
        <v>41211.299999999996</v>
      </c>
      <c r="Q41" s="21"/>
      <c r="R41" s="30">
        <f t="shared" ref="R41:R80" si="16">IF(P$12=0,0,P41/P$12)</f>
        <v>0.2867386879207014</v>
      </c>
      <c r="S41" s="21"/>
      <c r="T41" s="21" cm="1">
        <f t="array" ref="T41">SUM(OSRRefT22x_0)</f>
        <v>12533.749999999996</v>
      </c>
      <c r="U41" s="21"/>
      <c r="V41" s="30">
        <f t="shared" ref="V41:V80" si="17">IF(T$12=0,0,T41/T$12)</f>
        <v>0.58810984650843268</v>
      </c>
      <c r="W41" s="5"/>
      <c r="X41" s="21">
        <f t="shared" ref="X41:X80" si="18">+P41-T41</f>
        <v>28677.55</v>
      </c>
      <c r="Y41" s="5"/>
      <c r="Z41" s="30">
        <f t="shared" ref="Z41:Z80" si="19">IF(T41=0,0,X41/T41)</f>
        <v>2.2880263289119385</v>
      </c>
    </row>
    <row r="42" spans="1:26" s="68" customFormat="1" ht="15" customHeight="1" outlineLevel="1" collapsed="1" x14ac:dyDescent="0.3">
      <c r="A42" s="25"/>
      <c r="B42" s="14" t="str">
        <f>CONCATENATE("     ","*Benefits                                         ")</f>
        <v xml:space="preserve">     *Benefits                                         </v>
      </c>
      <c r="C42" s="14"/>
      <c r="D42" s="2">
        <f>SUM(OSRRefD22_0x_0)</f>
        <v>161.65</v>
      </c>
      <c r="E42" s="2"/>
      <c r="F42" s="6">
        <f t="shared" si="12"/>
        <v>3.6916118995735407E-3</v>
      </c>
      <c r="G42" s="2"/>
      <c r="H42" s="2">
        <f>SUM(OSRRefH22_0x_0)</f>
        <v>0</v>
      </c>
      <c r="I42" s="2"/>
      <c r="J42" s="6">
        <f t="shared" si="13"/>
        <v>0</v>
      </c>
      <c r="K42" s="2"/>
      <c r="L42" s="2">
        <f t="shared" si="14"/>
        <v>161.65</v>
      </c>
      <c r="M42" s="2"/>
      <c r="N42" s="6">
        <f t="shared" si="15"/>
        <v>0</v>
      </c>
      <c r="O42" s="14"/>
      <c r="P42" s="2">
        <f>SUM(OSRRefP22_0x_0)</f>
        <v>654.37</v>
      </c>
      <c r="Q42" s="2"/>
      <c r="R42" s="6">
        <f t="shared" si="16"/>
        <v>4.5529550199743616E-3</v>
      </c>
      <c r="S42" s="2"/>
      <c r="T42" s="2">
        <f>SUM(OSRRefT22_0x_0)</f>
        <v>778.2</v>
      </c>
      <c r="U42" s="2"/>
      <c r="V42" s="6">
        <f t="shared" si="17"/>
        <v>3.6514776707119778E-2</v>
      </c>
      <c r="W42" s="2"/>
      <c r="X42" s="2">
        <f t="shared" si="18"/>
        <v>-123.83000000000004</v>
      </c>
      <c r="Y42" s="2"/>
      <c r="Z42" s="6">
        <f t="shared" si="19"/>
        <v>-0.15912361860704194</v>
      </c>
    </row>
    <row r="43" spans="1:26" s="69" customFormat="1" ht="15" hidden="1" customHeight="1" outlineLevel="2" x14ac:dyDescent="0.3">
      <c r="A43" s="26"/>
      <c r="B43" s="12" t="str">
        <f>CONCATENATE("          ","6111"," - ","F.I.C.A.")</f>
        <v xml:space="preserve">          6111 - F.I.C.A.</v>
      </c>
      <c r="C43" s="12"/>
      <c r="D43" s="8">
        <v>72.290000000000006</v>
      </c>
      <c r="E43" s="3"/>
      <c r="F43" s="7">
        <f t="shared" si="12"/>
        <v>1.6508915819373417E-3</v>
      </c>
      <c r="G43" s="3"/>
      <c r="H43" s="8"/>
      <c r="I43" s="3"/>
      <c r="J43" s="7">
        <f t="shared" si="13"/>
        <v>0</v>
      </c>
      <c r="K43" s="3"/>
      <c r="L43" s="8">
        <f t="shared" si="14"/>
        <v>72.290000000000006</v>
      </c>
      <c r="M43" s="3"/>
      <c r="N43" s="7">
        <f t="shared" si="15"/>
        <v>0</v>
      </c>
      <c r="O43" s="12"/>
      <c r="P43" s="8">
        <v>186.21</v>
      </c>
      <c r="Q43" s="3"/>
      <c r="R43" s="7">
        <f t="shared" si="16"/>
        <v>1.2956060856540274E-3</v>
      </c>
      <c r="S43" s="3"/>
      <c r="T43" s="8">
        <v>484.61</v>
      </c>
      <c r="U43" s="3"/>
      <c r="V43" s="7">
        <f t="shared" si="17"/>
        <v>2.2738917938881154E-2</v>
      </c>
      <c r="W43" s="3"/>
      <c r="X43" s="8">
        <f t="shared" si="18"/>
        <v>-298.39999999999998</v>
      </c>
      <c r="Y43" s="3"/>
      <c r="Z43" s="7">
        <f t="shared" si="19"/>
        <v>-0.61575287344462548</v>
      </c>
    </row>
    <row r="44" spans="1:26" s="69" customFormat="1" ht="15" hidden="1" customHeight="1" outlineLevel="2" x14ac:dyDescent="0.3">
      <c r="A44" s="26"/>
      <c r="B44" s="12" t="str">
        <f>CONCATENATE("          ","6112"," - ","COMPENSATION INSURANCE")</f>
        <v xml:space="preserve">          6112 - COMPENSATION INSURANCE</v>
      </c>
      <c r="C44" s="12"/>
      <c r="D44" s="8">
        <v>76.010000000000005</v>
      </c>
      <c r="E44" s="3"/>
      <c r="F44" s="7">
        <f t="shared" si="12"/>
        <v>1.7358454716151243E-3</v>
      </c>
      <c r="G44" s="3"/>
      <c r="H44" s="8"/>
      <c r="I44" s="3"/>
      <c r="J44" s="7">
        <f t="shared" si="13"/>
        <v>0</v>
      </c>
      <c r="K44" s="3"/>
      <c r="L44" s="8">
        <f t="shared" si="14"/>
        <v>76.010000000000005</v>
      </c>
      <c r="M44" s="3"/>
      <c r="N44" s="7">
        <f t="shared" si="15"/>
        <v>0</v>
      </c>
      <c r="O44" s="12"/>
      <c r="P44" s="8">
        <v>398.21</v>
      </c>
      <c r="Q44" s="3"/>
      <c r="R44" s="7">
        <f t="shared" si="16"/>
        <v>2.7706530227608085E-3</v>
      </c>
      <c r="S44" s="3"/>
      <c r="T44" s="8">
        <v>255.57</v>
      </c>
      <c r="U44" s="3"/>
      <c r="V44" s="7">
        <f t="shared" si="17"/>
        <v>1.1991880600152403E-2</v>
      </c>
      <c r="W44" s="3"/>
      <c r="X44" s="8">
        <f t="shared" si="18"/>
        <v>142.63999999999999</v>
      </c>
      <c r="Y44" s="3"/>
      <c r="Z44" s="7">
        <f t="shared" si="19"/>
        <v>0.55812497554486051</v>
      </c>
    </row>
    <row r="45" spans="1:26" s="69" customFormat="1" ht="15" hidden="1" customHeight="1" outlineLevel="2" x14ac:dyDescent="0.3">
      <c r="A45" s="26"/>
      <c r="B45" s="12" t="str">
        <f>CONCATENATE("          ","6114"," - ","STATE UNEMPLOYMENT INSURANCE")</f>
        <v xml:space="preserve">          6114 - STATE UNEMPLOYMENT INSURANCE</v>
      </c>
      <c r="C45" s="12"/>
      <c r="D45" s="8">
        <v>13.35</v>
      </c>
      <c r="E45" s="3"/>
      <c r="F45" s="7">
        <f t="shared" si="12"/>
        <v>3.0487484602107498E-4</v>
      </c>
      <c r="G45" s="3"/>
      <c r="H45" s="8"/>
      <c r="I45" s="3"/>
      <c r="J45" s="7">
        <f t="shared" si="13"/>
        <v>0</v>
      </c>
      <c r="K45" s="3"/>
      <c r="L45" s="8">
        <f t="shared" si="14"/>
        <v>13.35</v>
      </c>
      <c r="M45" s="3"/>
      <c r="N45" s="7">
        <f t="shared" si="15"/>
        <v>0</v>
      </c>
      <c r="O45" s="12"/>
      <c r="P45" s="8">
        <v>69.95</v>
      </c>
      <c r="Q45" s="3"/>
      <c r="R45" s="7">
        <f t="shared" si="16"/>
        <v>4.8669591155952533E-4</v>
      </c>
      <c r="S45" s="3"/>
      <c r="T45" s="8">
        <v>38.020000000000003</v>
      </c>
      <c r="U45" s="3"/>
      <c r="V45" s="7">
        <f t="shared" si="17"/>
        <v>1.7839781680862169E-3</v>
      </c>
      <c r="W45" s="3"/>
      <c r="X45" s="8">
        <f t="shared" si="18"/>
        <v>31.93</v>
      </c>
      <c r="Y45" s="3"/>
      <c r="Z45" s="7">
        <f t="shared" si="19"/>
        <v>0.83982114676486053</v>
      </c>
    </row>
    <row r="46" spans="1:26" s="68" customFormat="1" ht="15" customHeight="1" outlineLevel="1" collapsed="1" x14ac:dyDescent="0.3">
      <c r="A46" s="25"/>
      <c r="B46" s="14" t="str">
        <f>CONCATENATE("     ","*Payroll                                          ")</f>
        <v xml:space="preserve">     *Payroll                                          </v>
      </c>
      <c r="C46" s="14"/>
      <c r="D46" s="2">
        <f>SUM(OSRRefD22_1x_0)</f>
        <v>5987.2400000000007</v>
      </c>
      <c r="E46" s="2"/>
      <c r="F46" s="6">
        <f t="shared" si="12"/>
        <v>0.13673100172967947</v>
      </c>
      <c r="G46" s="2"/>
      <c r="H46" s="2">
        <f>SUM(OSRRefH22_1x_0)</f>
        <v>0</v>
      </c>
      <c r="I46" s="2"/>
      <c r="J46" s="6">
        <f t="shared" si="13"/>
        <v>0</v>
      </c>
      <c r="K46" s="2"/>
      <c r="L46" s="2">
        <f t="shared" si="14"/>
        <v>5987.2400000000007</v>
      </c>
      <c r="M46" s="2"/>
      <c r="N46" s="6">
        <f t="shared" si="15"/>
        <v>0</v>
      </c>
      <c r="O46" s="14"/>
      <c r="P46" s="2">
        <f>SUM(OSRRefP22_1x_0)</f>
        <v>26792.620000000003</v>
      </c>
      <c r="Q46" s="2"/>
      <c r="R46" s="6">
        <f t="shared" si="16"/>
        <v>0.18641684937766934</v>
      </c>
      <c r="S46" s="2"/>
      <c r="T46" s="2">
        <f>SUM(OSRRefT22_1x_0)</f>
        <v>8152.5399999999991</v>
      </c>
      <c r="U46" s="2"/>
      <c r="V46" s="6">
        <f t="shared" si="17"/>
        <v>0.38253428128483963</v>
      </c>
      <c r="W46" s="2"/>
      <c r="X46" s="2">
        <f t="shared" si="18"/>
        <v>18640.080000000002</v>
      </c>
      <c r="Y46" s="2"/>
      <c r="Z46" s="6">
        <f t="shared" si="19"/>
        <v>2.2864138047774074</v>
      </c>
    </row>
    <row r="47" spans="1:26" s="69" customFormat="1" ht="15" hidden="1" customHeight="1" outlineLevel="2" x14ac:dyDescent="0.3">
      <c r="A47" s="26"/>
      <c r="B47" s="12" t="str">
        <f>CONCATENATE("          ","6004"," - ","STAFF HOURLY")</f>
        <v xml:space="preserve">          6004 - STAFF HOURLY</v>
      </c>
      <c r="C47" s="12"/>
      <c r="D47" s="8"/>
      <c r="E47" s="3"/>
      <c r="F47" s="7">
        <f t="shared" si="12"/>
        <v>0</v>
      </c>
      <c r="G47" s="3"/>
      <c r="H47" s="8"/>
      <c r="I47" s="3"/>
      <c r="J47" s="7">
        <f t="shared" si="13"/>
        <v>0</v>
      </c>
      <c r="K47" s="3"/>
      <c r="L47" s="8">
        <f t="shared" si="14"/>
        <v>0</v>
      </c>
      <c r="M47" s="3"/>
      <c r="N47" s="7">
        <f t="shared" si="15"/>
        <v>0</v>
      </c>
      <c r="O47" s="12"/>
      <c r="P47" s="8">
        <v>783.61</v>
      </c>
      <c r="Q47" s="3"/>
      <c r="R47" s="7">
        <f t="shared" si="16"/>
        <v>5.4521770301237974E-3</v>
      </c>
      <c r="S47" s="3"/>
      <c r="T47" s="8"/>
      <c r="U47" s="3"/>
      <c r="V47" s="7">
        <f t="shared" si="17"/>
        <v>0</v>
      </c>
      <c r="W47" s="3"/>
      <c r="X47" s="8">
        <f t="shared" si="18"/>
        <v>783.61</v>
      </c>
      <c r="Y47" s="3"/>
      <c r="Z47" s="7">
        <f t="shared" si="19"/>
        <v>0</v>
      </c>
    </row>
    <row r="48" spans="1:26" s="69" customFormat="1" ht="15" hidden="1" customHeight="1" outlineLevel="2" x14ac:dyDescent="0.3">
      <c r="A48" s="26"/>
      <c r="B48" s="12" t="str">
        <f>CONCATENATE("          ","6005"," - ","TEMPORARY WAGES-HOURLY")</f>
        <v xml:space="preserve">          6005 - TEMPORARY WAGES-HOURLY</v>
      </c>
      <c r="C48" s="12"/>
      <c r="D48" s="8">
        <v>1465</v>
      </c>
      <c r="E48" s="3"/>
      <c r="F48" s="7">
        <f t="shared" si="12"/>
        <v>3.3456303327406352E-2</v>
      </c>
      <c r="G48" s="3"/>
      <c r="H48" s="8"/>
      <c r="I48" s="3"/>
      <c r="J48" s="7">
        <f t="shared" si="13"/>
        <v>0</v>
      </c>
      <c r="K48" s="3"/>
      <c r="L48" s="8">
        <f t="shared" si="14"/>
        <v>1465</v>
      </c>
      <c r="M48" s="3"/>
      <c r="N48" s="7">
        <f t="shared" si="15"/>
        <v>0</v>
      </c>
      <c r="O48" s="12"/>
      <c r="P48" s="8">
        <v>2170.34</v>
      </c>
      <c r="Q48" s="3"/>
      <c r="R48" s="7">
        <f t="shared" si="16"/>
        <v>1.5100723440944964E-2</v>
      </c>
      <c r="S48" s="3"/>
      <c r="T48" s="8">
        <v>5379.19</v>
      </c>
      <c r="U48" s="3"/>
      <c r="V48" s="7">
        <f t="shared" si="17"/>
        <v>0.25240288064144384</v>
      </c>
      <c r="W48" s="3"/>
      <c r="X48" s="8">
        <f t="shared" si="18"/>
        <v>-3208.8499999999995</v>
      </c>
      <c r="Y48" s="3"/>
      <c r="Z48" s="7">
        <f t="shared" si="19"/>
        <v>-0.59653033263372357</v>
      </c>
    </row>
    <row r="49" spans="1:26" s="69" customFormat="1" ht="15" hidden="1" customHeight="1" outlineLevel="2" x14ac:dyDescent="0.3">
      <c r="A49" s="26"/>
      <c r="B49" s="12" t="str">
        <f>CONCATENATE("          ","6007"," - ","STUDENT HOURLY")</f>
        <v xml:space="preserve">          6007 - STUDENT HOURLY</v>
      </c>
      <c r="C49" s="12"/>
      <c r="D49" s="8">
        <v>3098.52</v>
      </c>
      <c r="E49" s="3"/>
      <c r="F49" s="7">
        <f t="shared" si="12"/>
        <v>7.0761109205484729E-2</v>
      </c>
      <c r="G49" s="3"/>
      <c r="H49" s="8"/>
      <c r="I49" s="3"/>
      <c r="J49" s="7">
        <f t="shared" si="13"/>
        <v>0</v>
      </c>
      <c r="K49" s="3"/>
      <c r="L49" s="8">
        <f t="shared" si="14"/>
        <v>3098.52</v>
      </c>
      <c r="M49" s="3"/>
      <c r="N49" s="7">
        <f t="shared" si="15"/>
        <v>0</v>
      </c>
      <c r="O49" s="12"/>
      <c r="P49" s="8">
        <v>18951.57</v>
      </c>
      <c r="Q49" s="3"/>
      <c r="R49" s="7">
        <f t="shared" si="16"/>
        <v>0.1318606381220036</v>
      </c>
      <c r="S49" s="3"/>
      <c r="T49" s="8">
        <v>2773.35</v>
      </c>
      <c r="U49" s="3"/>
      <c r="V49" s="7">
        <f t="shared" si="17"/>
        <v>0.13013140064339582</v>
      </c>
      <c r="W49" s="3"/>
      <c r="X49" s="8">
        <f t="shared" si="18"/>
        <v>16178.22</v>
      </c>
      <c r="Y49" s="3"/>
      <c r="Z49" s="7">
        <f t="shared" si="19"/>
        <v>5.8334577316242093</v>
      </c>
    </row>
    <row r="50" spans="1:26" s="69" customFormat="1" ht="15" hidden="1" customHeight="1" outlineLevel="2" x14ac:dyDescent="0.3">
      <c r="A50" s="26"/>
      <c r="B50" s="12" t="str">
        <f>CONCATENATE("          ","6008"," - ","STUDENT HOURLY-FICA EXEMPT")</f>
        <v xml:space="preserve">          6008 - STUDENT HOURLY-FICA EXEMPT</v>
      </c>
      <c r="C50" s="12"/>
      <c r="D50" s="8">
        <v>1423.72</v>
      </c>
      <c r="E50" s="3"/>
      <c r="F50" s="7">
        <f t="shared" si="12"/>
        <v>3.251358919678838E-2</v>
      </c>
      <c r="G50" s="3"/>
      <c r="H50" s="8"/>
      <c r="I50" s="3"/>
      <c r="J50" s="7">
        <f t="shared" si="13"/>
        <v>0</v>
      </c>
      <c r="K50" s="3"/>
      <c r="L50" s="8">
        <f t="shared" si="14"/>
        <v>1423.72</v>
      </c>
      <c r="M50" s="3"/>
      <c r="N50" s="7">
        <f t="shared" si="15"/>
        <v>0</v>
      </c>
      <c r="O50" s="12"/>
      <c r="P50" s="8">
        <v>4887.1000000000004</v>
      </c>
      <c r="Q50" s="3"/>
      <c r="R50" s="7">
        <f t="shared" si="16"/>
        <v>3.4003310784596945E-2</v>
      </c>
      <c r="S50" s="3"/>
      <c r="T50" s="8"/>
      <c r="U50" s="3"/>
      <c r="V50" s="7">
        <f t="shared" si="17"/>
        <v>0</v>
      </c>
      <c r="W50" s="3"/>
      <c r="X50" s="8">
        <f t="shared" si="18"/>
        <v>4887.1000000000004</v>
      </c>
      <c r="Y50" s="3"/>
      <c r="Z50" s="7">
        <f t="shared" si="19"/>
        <v>0</v>
      </c>
    </row>
    <row r="51" spans="1:26" s="68" customFormat="1" ht="15" customHeight="1" outlineLevel="1" collapsed="1" x14ac:dyDescent="0.3">
      <c r="A51" s="25"/>
      <c r="B51" s="14" t="str">
        <f>CONCATENATE("     ","Advertising/Promo                                 ")</f>
        <v xml:space="preserve">     Advertising/Promo                                 </v>
      </c>
      <c r="C51" s="14"/>
      <c r="D51" s="2">
        <f>SUM(OSRRefD22_2x_0)</f>
        <v>0</v>
      </c>
      <c r="E51" s="2"/>
      <c r="F51" s="6">
        <f t="shared" si="12"/>
        <v>0</v>
      </c>
      <c r="G51" s="2"/>
      <c r="H51" s="2">
        <f>SUM(OSRRefH22_2x_0)</f>
        <v>0</v>
      </c>
      <c r="I51" s="2"/>
      <c r="J51" s="6">
        <f t="shared" si="13"/>
        <v>0</v>
      </c>
      <c r="K51" s="2"/>
      <c r="L51" s="2">
        <f t="shared" si="14"/>
        <v>0</v>
      </c>
      <c r="M51" s="2"/>
      <c r="N51" s="6">
        <f t="shared" si="15"/>
        <v>0</v>
      </c>
      <c r="O51" s="14"/>
      <c r="P51" s="2">
        <f>SUM(OSRRefP22_2x_0)</f>
        <v>1669.12</v>
      </c>
      <c r="Q51" s="2"/>
      <c r="R51" s="6">
        <f t="shared" si="16"/>
        <v>1.1613350677658825E-2</v>
      </c>
      <c r="S51" s="2"/>
      <c r="T51" s="2">
        <f>SUM(OSRRefT22_2x_0)</f>
        <v>124.72</v>
      </c>
      <c r="U51" s="2"/>
      <c r="V51" s="6">
        <f t="shared" si="17"/>
        <v>5.8521240695347957E-3</v>
      </c>
      <c r="W51" s="2"/>
      <c r="X51" s="2">
        <f t="shared" si="18"/>
        <v>1544.3999999999999</v>
      </c>
      <c r="Y51" s="2"/>
      <c r="Z51" s="6">
        <f t="shared" si="19"/>
        <v>12.382937780628607</v>
      </c>
    </row>
    <row r="52" spans="1:26" s="69" customFormat="1" ht="15" hidden="1" customHeight="1" outlineLevel="2" x14ac:dyDescent="0.3">
      <c r="A52" s="26"/>
      <c r="B52" s="12" t="str">
        <f>CONCATENATE("          ","6362"," - ","ADVERTISING EXPENSE")</f>
        <v xml:space="preserve">          6362 - ADVERTISING EXPENSE</v>
      </c>
      <c r="C52" s="12"/>
      <c r="D52" s="8"/>
      <c r="E52" s="3"/>
      <c r="F52" s="7">
        <f t="shared" si="12"/>
        <v>0</v>
      </c>
      <c r="G52" s="3"/>
      <c r="H52" s="8"/>
      <c r="I52" s="3"/>
      <c r="J52" s="7">
        <f t="shared" si="13"/>
        <v>0</v>
      </c>
      <c r="K52" s="3"/>
      <c r="L52" s="8">
        <f t="shared" si="14"/>
        <v>0</v>
      </c>
      <c r="M52" s="3"/>
      <c r="N52" s="7">
        <f t="shared" si="15"/>
        <v>0</v>
      </c>
      <c r="O52" s="12"/>
      <c r="P52" s="8">
        <v>1669.12</v>
      </c>
      <c r="Q52" s="3"/>
      <c r="R52" s="7">
        <f t="shared" si="16"/>
        <v>1.1613350677658825E-2</v>
      </c>
      <c r="S52" s="3"/>
      <c r="T52" s="8">
        <v>124.72</v>
      </c>
      <c r="U52" s="3"/>
      <c r="V52" s="7">
        <f t="shared" si="17"/>
        <v>5.8521240695347957E-3</v>
      </c>
      <c r="W52" s="3"/>
      <c r="X52" s="8">
        <f t="shared" si="18"/>
        <v>1544.3999999999999</v>
      </c>
      <c r="Y52" s="3"/>
      <c r="Z52" s="7">
        <f t="shared" si="19"/>
        <v>12.382937780628607</v>
      </c>
    </row>
    <row r="53" spans="1:26" s="68" customFormat="1" ht="15" customHeight="1" outlineLevel="1" collapsed="1" x14ac:dyDescent="0.3">
      <c r="A53" s="25"/>
      <c r="B53" s="14" t="str">
        <f>CONCATENATE("     ","Bad Debts/Over/Short                              ")</f>
        <v xml:space="preserve">     Bad Debts/Over/Short                              </v>
      </c>
      <c r="C53" s="14"/>
      <c r="D53" s="2">
        <f>SUM(OSRRefD22_3x_0)</f>
        <v>-0.37</v>
      </c>
      <c r="E53" s="2"/>
      <c r="F53" s="6">
        <f t="shared" si="12"/>
        <v>-8.449714833542902E-6</v>
      </c>
      <c r="G53" s="2"/>
      <c r="H53" s="2">
        <f>SUM(OSRRefH22_3x_0)</f>
        <v>0</v>
      </c>
      <c r="I53" s="2"/>
      <c r="J53" s="6">
        <f t="shared" si="13"/>
        <v>0</v>
      </c>
      <c r="K53" s="2"/>
      <c r="L53" s="2">
        <f t="shared" si="14"/>
        <v>-0.37</v>
      </c>
      <c r="M53" s="2"/>
      <c r="N53" s="6">
        <f t="shared" si="15"/>
        <v>0</v>
      </c>
      <c r="O53" s="14"/>
      <c r="P53" s="2">
        <f>SUM(OSRRefP22_3x_0)</f>
        <v>-8.67</v>
      </c>
      <c r="Q53" s="2"/>
      <c r="R53" s="6">
        <f t="shared" si="16"/>
        <v>-6.0323853512810353E-5</v>
      </c>
      <c r="S53" s="2"/>
      <c r="T53" s="2">
        <f>SUM(OSRRefT22_3x_0)</f>
        <v>1.1000000000000001</v>
      </c>
      <c r="U53" s="2"/>
      <c r="V53" s="6">
        <f t="shared" si="17"/>
        <v>5.1614307861516002E-5</v>
      </c>
      <c r="W53" s="2"/>
      <c r="X53" s="2">
        <f t="shared" si="18"/>
        <v>-9.77</v>
      </c>
      <c r="Y53" s="2"/>
      <c r="Z53" s="6">
        <f t="shared" si="19"/>
        <v>-8.8818181818181809</v>
      </c>
    </row>
    <row r="54" spans="1:26" s="69" customFormat="1" ht="15" hidden="1" customHeight="1" outlineLevel="2" x14ac:dyDescent="0.3">
      <c r="A54" s="26"/>
      <c r="B54" s="12" t="str">
        <f>CONCATENATE("          ","6272"," - ","CASH (OVER/SHORT)")</f>
        <v xml:space="preserve">          6272 - CASH (OVER/SHORT)</v>
      </c>
      <c r="C54" s="12"/>
      <c r="D54" s="8">
        <v>-0.37</v>
      </c>
      <c r="E54" s="3"/>
      <c r="F54" s="7">
        <f t="shared" si="12"/>
        <v>-8.449714833542902E-6</v>
      </c>
      <c r="G54" s="3"/>
      <c r="H54" s="8"/>
      <c r="I54" s="3"/>
      <c r="J54" s="7">
        <f t="shared" si="13"/>
        <v>0</v>
      </c>
      <c r="K54" s="3"/>
      <c r="L54" s="8">
        <f t="shared" si="14"/>
        <v>-0.37</v>
      </c>
      <c r="M54" s="3"/>
      <c r="N54" s="7">
        <f t="shared" si="15"/>
        <v>0</v>
      </c>
      <c r="O54" s="12"/>
      <c r="P54" s="8">
        <v>-8.67</v>
      </c>
      <c r="Q54" s="3"/>
      <c r="R54" s="7">
        <f t="shared" si="16"/>
        <v>-6.0323853512810353E-5</v>
      </c>
      <c r="S54" s="3"/>
      <c r="T54" s="8">
        <v>1.1000000000000001</v>
      </c>
      <c r="U54" s="3"/>
      <c r="V54" s="7">
        <f t="shared" si="17"/>
        <v>5.1614307861516002E-5</v>
      </c>
      <c r="W54" s="3"/>
      <c r="X54" s="8">
        <f t="shared" si="18"/>
        <v>-9.77</v>
      </c>
      <c r="Y54" s="3"/>
      <c r="Z54" s="7">
        <f t="shared" si="19"/>
        <v>-8.8818181818181809</v>
      </c>
    </row>
    <row r="55" spans="1:26" s="68" customFormat="1" ht="15" customHeight="1" outlineLevel="1" collapsed="1" x14ac:dyDescent="0.3">
      <c r="A55" s="25"/>
      <c r="B55" s="14" t="str">
        <f>CONCATENATE("     ","Discounts and Markdowns                           ")</f>
        <v xml:space="preserve">     Discounts and Markdowns                           </v>
      </c>
      <c r="C55" s="14"/>
      <c r="D55" s="2">
        <f>SUM(OSRRefD22_4x_0)</f>
        <v>0.98</v>
      </c>
      <c r="E55" s="2"/>
      <c r="F55" s="6">
        <f t="shared" si="12"/>
        <v>2.2380325775329848E-5</v>
      </c>
      <c r="G55" s="2"/>
      <c r="H55" s="2">
        <f>SUM(OSRRefH22_4x_0)</f>
        <v>0</v>
      </c>
      <c r="I55" s="2"/>
      <c r="J55" s="6">
        <f t="shared" si="13"/>
        <v>0</v>
      </c>
      <c r="K55" s="2"/>
      <c r="L55" s="2">
        <f t="shared" si="14"/>
        <v>0.98</v>
      </c>
      <c r="M55" s="2"/>
      <c r="N55" s="6">
        <f t="shared" si="15"/>
        <v>0</v>
      </c>
      <c r="O55" s="14"/>
      <c r="P55" s="2">
        <f>SUM(OSRRefP22_4x_0)</f>
        <v>0</v>
      </c>
      <c r="Q55" s="2"/>
      <c r="R55" s="6">
        <f t="shared" si="16"/>
        <v>0</v>
      </c>
      <c r="S55" s="2"/>
      <c r="T55" s="2">
        <f>SUM(OSRRefT22_4x_0)</f>
        <v>0</v>
      </c>
      <c r="U55" s="2"/>
      <c r="V55" s="6">
        <f t="shared" si="17"/>
        <v>0</v>
      </c>
      <c r="W55" s="2"/>
      <c r="X55" s="2">
        <f t="shared" si="18"/>
        <v>0</v>
      </c>
      <c r="Y55" s="2"/>
      <c r="Z55" s="6">
        <f t="shared" si="19"/>
        <v>0</v>
      </c>
    </row>
    <row r="56" spans="1:26" s="69" customFormat="1" ht="15" hidden="1" customHeight="1" outlineLevel="2" x14ac:dyDescent="0.3">
      <c r="A56" s="26"/>
      <c r="B56" s="12" t="str">
        <f>CONCATENATE("          ","6382"," - ","DISCOUNTS/MARK DOWNS")</f>
        <v xml:space="preserve">          6382 - DISCOUNTS/MARK DOWNS</v>
      </c>
      <c r="C56" s="12"/>
      <c r="D56" s="8"/>
      <c r="E56" s="3"/>
      <c r="F56" s="7">
        <f t="shared" si="12"/>
        <v>0</v>
      </c>
      <c r="G56" s="3"/>
      <c r="H56" s="8"/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69" customFormat="1" ht="15" hidden="1" customHeight="1" outlineLevel="2" x14ac:dyDescent="0.3">
      <c r="A57" s="26"/>
      <c r="B57" s="12" t="str">
        <f>CONCATENATE("          ","9175"," - ","EARNED DISCOUNTS")</f>
        <v xml:space="preserve">          9175 - EARNED DISCOUNTS</v>
      </c>
      <c r="C57" s="12"/>
      <c r="D57" s="8">
        <v>0.98</v>
      </c>
      <c r="E57" s="3"/>
      <c r="F57" s="7">
        <f t="shared" si="12"/>
        <v>2.2380325775329848E-5</v>
      </c>
      <c r="G57" s="3"/>
      <c r="H57" s="8"/>
      <c r="I57" s="3"/>
      <c r="J57" s="7">
        <f t="shared" si="13"/>
        <v>0</v>
      </c>
      <c r="K57" s="3"/>
      <c r="L57" s="8">
        <f t="shared" si="14"/>
        <v>0.98</v>
      </c>
      <c r="M57" s="3"/>
      <c r="N57" s="7">
        <f t="shared" si="15"/>
        <v>0</v>
      </c>
      <c r="O57" s="12"/>
      <c r="P57" s="8">
        <v>0</v>
      </c>
      <c r="Q57" s="3"/>
      <c r="R57" s="7">
        <f t="shared" si="16"/>
        <v>0</v>
      </c>
      <c r="S57" s="3"/>
      <c r="T57" s="8">
        <v>0</v>
      </c>
      <c r="U57" s="3"/>
      <c r="V57" s="7">
        <f t="shared" si="17"/>
        <v>0</v>
      </c>
      <c r="W57" s="3"/>
      <c r="X57" s="8">
        <f t="shared" si="18"/>
        <v>0</v>
      </c>
      <c r="Y57" s="3"/>
      <c r="Z57" s="7">
        <f t="shared" si="19"/>
        <v>0</v>
      </c>
    </row>
    <row r="58" spans="1:26" s="68" customFormat="1" ht="15" customHeight="1" outlineLevel="1" collapsed="1" x14ac:dyDescent="0.3">
      <c r="A58" s="25"/>
      <c r="B58" s="14" t="str">
        <f>CONCATENATE("     ","Freight out/Postage                               ")</f>
        <v xml:space="preserve">     Freight out/Postage                               </v>
      </c>
      <c r="C58" s="14"/>
      <c r="D58" s="2">
        <f>SUM(OSRRefD22_5x_0)</f>
        <v>0</v>
      </c>
      <c r="E58" s="2"/>
      <c r="F58" s="6">
        <f t="shared" si="12"/>
        <v>0</v>
      </c>
      <c r="G58" s="2"/>
      <c r="H58" s="2">
        <f>SUM(OSRRefH22_5x_0)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SUM(OSRRefP22_5x_0)</f>
        <v>54.5</v>
      </c>
      <c r="Q58" s="2"/>
      <c r="R58" s="6">
        <f t="shared" si="16"/>
        <v>3.7919838713358297E-4</v>
      </c>
      <c r="S58" s="2"/>
      <c r="T58" s="2">
        <f>SUM(OSRRefT22_5x_0)</f>
        <v>0</v>
      </c>
      <c r="U58" s="2"/>
      <c r="V58" s="6">
        <f t="shared" si="17"/>
        <v>0</v>
      </c>
      <c r="W58" s="2"/>
      <c r="X58" s="2">
        <f t="shared" si="18"/>
        <v>54.5</v>
      </c>
      <c r="Y58" s="2"/>
      <c r="Z58" s="6">
        <f t="shared" si="19"/>
        <v>0</v>
      </c>
    </row>
    <row r="59" spans="1:26" s="69" customFormat="1" ht="15" hidden="1" customHeight="1" outlineLevel="2" x14ac:dyDescent="0.3">
      <c r="A59" s="26"/>
      <c r="B59" s="12" t="str">
        <f>CONCATENATE("          ","6307"," - ","POSTAGE")</f>
        <v xml:space="preserve">          6307 - POSTAGE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54.5</v>
      </c>
      <c r="Q59" s="3"/>
      <c r="R59" s="7">
        <f t="shared" si="16"/>
        <v>3.7919838713358297E-4</v>
      </c>
      <c r="S59" s="3"/>
      <c r="T59" s="8"/>
      <c r="U59" s="3"/>
      <c r="V59" s="7">
        <f t="shared" si="17"/>
        <v>0</v>
      </c>
      <c r="W59" s="3"/>
      <c r="X59" s="8">
        <f t="shared" si="18"/>
        <v>54.5</v>
      </c>
      <c r="Y59" s="3"/>
      <c r="Z59" s="7">
        <f t="shared" si="19"/>
        <v>0</v>
      </c>
    </row>
    <row r="60" spans="1:26" s="68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SUM(OSRRefD22_6x_0)</f>
        <v>0</v>
      </c>
      <c r="E60" s="2"/>
      <c r="F60" s="6">
        <f t="shared" si="12"/>
        <v>0</v>
      </c>
      <c r="G60" s="2"/>
      <c r="H60" s="2">
        <f>SUM(OSRRefH22_6x_0)</f>
        <v>0</v>
      </c>
      <c r="I60" s="2"/>
      <c r="J60" s="6">
        <f t="shared" si="13"/>
        <v>0</v>
      </c>
      <c r="K60" s="2"/>
      <c r="L60" s="2">
        <f t="shared" si="14"/>
        <v>0</v>
      </c>
      <c r="M60" s="2"/>
      <c r="N60" s="6">
        <f t="shared" si="15"/>
        <v>0</v>
      </c>
      <c r="O60" s="14"/>
      <c r="P60" s="2">
        <f>SUM(OSRRefP22_6x_0)</f>
        <v>388.04</v>
      </c>
      <c r="Q60" s="2"/>
      <c r="R60" s="6">
        <f t="shared" si="16"/>
        <v>2.699892516391111E-3</v>
      </c>
      <c r="S60" s="2"/>
      <c r="T60" s="2">
        <f>SUM(OSRRefT22_6x_0)</f>
        <v>879.55</v>
      </c>
      <c r="U60" s="2"/>
      <c r="V60" s="6">
        <f t="shared" si="17"/>
        <v>4.1270331345087632E-2</v>
      </c>
      <c r="W60" s="2"/>
      <c r="X60" s="2">
        <f t="shared" si="18"/>
        <v>-491.50999999999993</v>
      </c>
      <c r="Y60" s="2"/>
      <c r="Z60" s="6">
        <f t="shared" si="19"/>
        <v>-0.55881985106020116</v>
      </c>
    </row>
    <row r="61" spans="1:26" s="69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8"/>
      <c r="E61" s="3"/>
      <c r="F61" s="7">
        <f t="shared" si="12"/>
        <v>0</v>
      </c>
      <c r="G61" s="3"/>
      <c r="H61" s="8"/>
      <c r="I61" s="3"/>
      <c r="J61" s="7">
        <f t="shared" si="13"/>
        <v>0</v>
      </c>
      <c r="K61" s="3"/>
      <c r="L61" s="8">
        <f t="shared" si="14"/>
        <v>0</v>
      </c>
      <c r="M61" s="3"/>
      <c r="N61" s="7">
        <f t="shared" si="15"/>
        <v>0</v>
      </c>
      <c r="O61" s="12"/>
      <c r="P61" s="8">
        <v>388.04</v>
      </c>
      <c r="Q61" s="3"/>
      <c r="R61" s="7">
        <f t="shared" si="16"/>
        <v>2.699892516391111E-3</v>
      </c>
      <c r="S61" s="3"/>
      <c r="T61" s="8">
        <v>879.55</v>
      </c>
      <c r="U61" s="3"/>
      <c r="V61" s="7">
        <f t="shared" si="17"/>
        <v>4.1270331345087632E-2</v>
      </c>
      <c r="W61" s="3"/>
      <c r="X61" s="8">
        <f t="shared" si="18"/>
        <v>-491.50999999999993</v>
      </c>
      <c r="Y61" s="3"/>
      <c r="Z61" s="7">
        <f t="shared" si="19"/>
        <v>-0.55881985106020116</v>
      </c>
    </row>
    <row r="62" spans="1:26" s="68" customFormat="1" ht="15" customHeight="1" outlineLevel="1" collapsed="1" x14ac:dyDescent="0.3">
      <c r="A62" s="25"/>
      <c r="B62" s="14" t="str">
        <f>CONCATENATE("     ","Inventory Adjustment                              ")</f>
        <v xml:space="preserve">     Inventory Adjustment                              </v>
      </c>
      <c r="C62" s="14"/>
      <c r="D62" s="2">
        <f>SUM(OSRRefD22_7x_0)</f>
        <v>650</v>
      </c>
      <c r="E62" s="2"/>
      <c r="F62" s="6">
        <f t="shared" si="12"/>
        <v>1.4844093626494286E-2</v>
      </c>
      <c r="G62" s="2"/>
      <c r="H62" s="2">
        <f>SUM(OSRRefH22_7x_0)</f>
        <v>0</v>
      </c>
      <c r="I62" s="2"/>
      <c r="J62" s="6">
        <f t="shared" si="13"/>
        <v>0</v>
      </c>
      <c r="K62" s="2"/>
      <c r="L62" s="2">
        <f t="shared" si="14"/>
        <v>650</v>
      </c>
      <c r="M62" s="2"/>
      <c r="N62" s="6">
        <f t="shared" si="15"/>
        <v>0</v>
      </c>
      <c r="O62" s="14"/>
      <c r="P62" s="2">
        <f>SUM(OSRRefP22_7x_0)</f>
        <v>5200</v>
      </c>
      <c r="Q62" s="2"/>
      <c r="R62" s="6">
        <f t="shared" si="16"/>
        <v>3.6180396570543699E-2</v>
      </c>
      <c r="S62" s="2"/>
      <c r="T62" s="2">
        <f>SUM(OSRRefT22_7x_0)</f>
        <v>0</v>
      </c>
      <c r="U62" s="2"/>
      <c r="V62" s="6">
        <f t="shared" si="17"/>
        <v>0</v>
      </c>
      <c r="W62" s="2"/>
      <c r="X62" s="2">
        <f t="shared" si="18"/>
        <v>5200</v>
      </c>
      <c r="Y62" s="2"/>
      <c r="Z62" s="6">
        <f t="shared" si="19"/>
        <v>0</v>
      </c>
    </row>
    <row r="63" spans="1:26" s="69" customFormat="1" ht="15" hidden="1" customHeight="1" outlineLevel="2" x14ac:dyDescent="0.3">
      <c r="A63" s="26"/>
      <c r="B63" s="12" t="str">
        <f>CONCATENATE("          ","6408"," - ","INVENTORY ADJUSTMENT")</f>
        <v xml:space="preserve">          6408 - INVENTORY ADJUSTMENT</v>
      </c>
      <c r="C63" s="12"/>
      <c r="D63" s="8">
        <v>650</v>
      </c>
      <c r="E63" s="3"/>
      <c r="F63" s="7">
        <f t="shared" si="12"/>
        <v>1.4844093626494286E-2</v>
      </c>
      <c r="G63" s="3"/>
      <c r="H63" s="8"/>
      <c r="I63" s="3"/>
      <c r="J63" s="7">
        <f t="shared" si="13"/>
        <v>0</v>
      </c>
      <c r="K63" s="3"/>
      <c r="L63" s="8">
        <f t="shared" si="14"/>
        <v>650</v>
      </c>
      <c r="M63" s="3"/>
      <c r="N63" s="7">
        <f t="shared" si="15"/>
        <v>0</v>
      </c>
      <c r="O63" s="12"/>
      <c r="P63" s="8">
        <v>5200</v>
      </c>
      <c r="Q63" s="3"/>
      <c r="R63" s="7">
        <f t="shared" si="16"/>
        <v>3.6180396570543699E-2</v>
      </c>
      <c r="S63" s="3"/>
      <c r="T63" s="8"/>
      <c r="U63" s="3"/>
      <c r="V63" s="7">
        <f t="shared" si="17"/>
        <v>0</v>
      </c>
      <c r="W63" s="3"/>
      <c r="X63" s="8">
        <f t="shared" si="18"/>
        <v>5200</v>
      </c>
      <c r="Y63" s="3"/>
      <c r="Z63" s="7">
        <f t="shared" si="19"/>
        <v>0</v>
      </c>
    </row>
    <row r="64" spans="1:26" s="68" customFormat="1" ht="15" customHeight="1" outlineLevel="1" collapsed="1" x14ac:dyDescent="0.3">
      <c r="A64" s="25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SUM(OSRRefD22_8x_0)</f>
        <v>0</v>
      </c>
      <c r="E64" s="2"/>
      <c r="F64" s="6">
        <f t="shared" si="12"/>
        <v>0</v>
      </c>
      <c r="G64" s="2"/>
      <c r="H64" s="2">
        <f>SUM(OSRRefH22_8x_0)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SUM(OSRRefP22_8x_0)</f>
        <v>383.39</v>
      </c>
      <c r="Q64" s="2"/>
      <c r="R64" s="6">
        <f t="shared" si="16"/>
        <v>2.6675388925347593E-3</v>
      </c>
      <c r="S64" s="2"/>
      <c r="T64" s="2">
        <f>SUM(OSRRefT22_8x_0)</f>
        <v>200.82</v>
      </c>
      <c r="U64" s="2"/>
      <c r="V64" s="6">
        <f t="shared" si="17"/>
        <v>9.4228957315905838E-3</v>
      </c>
      <c r="W64" s="2"/>
      <c r="X64" s="2">
        <f t="shared" si="18"/>
        <v>182.57</v>
      </c>
      <c r="Y64" s="2"/>
      <c r="Z64" s="6">
        <f t="shared" si="19"/>
        <v>0.90912259735086143</v>
      </c>
    </row>
    <row r="65" spans="1:26" s="69" customFormat="1" ht="15" hidden="1" customHeight="1" outlineLevel="2" x14ac:dyDescent="0.3">
      <c r="A65" s="26"/>
      <c r="B65" s="12" t="str">
        <f>CONCATENATE("          ","6373"," - ","MAINTENANCE CONTRACTS")</f>
        <v xml:space="preserve">          6373 - MAINTENANCE CONTRACTS</v>
      </c>
      <c r="C65" s="12"/>
      <c r="D65" s="8"/>
      <c r="E65" s="3"/>
      <c r="F65" s="7">
        <f t="shared" si="12"/>
        <v>0</v>
      </c>
      <c r="G65" s="3"/>
      <c r="H65" s="8"/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>
        <v>200.17</v>
      </c>
      <c r="Q65" s="3"/>
      <c r="R65" s="7">
        <f t="shared" si="16"/>
        <v>1.3927365349087944E-3</v>
      </c>
      <c r="S65" s="3"/>
      <c r="T65" s="8">
        <v>200.82</v>
      </c>
      <c r="U65" s="3"/>
      <c r="V65" s="7">
        <f t="shared" si="17"/>
        <v>9.4228957315905838E-3</v>
      </c>
      <c r="W65" s="3"/>
      <c r="X65" s="8">
        <f t="shared" si="18"/>
        <v>-0.65000000000000568</v>
      </c>
      <c r="Y65" s="3"/>
      <c r="Z65" s="7">
        <f t="shared" si="19"/>
        <v>-3.2367294094214007E-3</v>
      </c>
    </row>
    <row r="66" spans="1:26" s="69" customFormat="1" ht="15" hidden="1" customHeight="1" outlineLevel="2" x14ac:dyDescent="0.3">
      <c r="A66" s="26"/>
      <c r="B66" s="12" t="str">
        <f>CONCATENATE("          ","6375"," - ","OUTSIDE REPAIRS &amp; MAINTENANCE")</f>
        <v xml:space="preserve">          6375 - OUTSIDE REPAIRS &amp; MAINTENANCE</v>
      </c>
      <c r="C66" s="12"/>
      <c r="D66" s="8"/>
      <c r="E66" s="3"/>
      <c r="F66" s="7">
        <f t="shared" si="12"/>
        <v>0</v>
      </c>
      <c r="G66" s="3"/>
      <c r="H66" s="8"/>
      <c r="I66" s="3"/>
      <c r="J66" s="7">
        <f t="shared" si="13"/>
        <v>0</v>
      </c>
      <c r="K66" s="3"/>
      <c r="L66" s="8">
        <f t="shared" si="14"/>
        <v>0</v>
      </c>
      <c r="M66" s="3"/>
      <c r="N66" s="7">
        <f t="shared" si="15"/>
        <v>0</v>
      </c>
      <c r="O66" s="12"/>
      <c r="P66" s="8">
        <v>183.22</v>
      </c>
      <c r="Q66" s="3"/>
      <c r="R66" s="7">
        <f t="shared" si="16"/>
        <v>1.2748023576259647E-3</v>
      </c>
      <c r="S66" s="3"/>
      <c r="T66" s="8"/>
      <c r="U66" s="3"/>
      <c r="V66" s="7">
        <f t="shared" si="17"/>
        <v>0</v>
      </c>
      <c r="W66" s="3"/>
      <c r="X66" s="8">
        <f t="shared" si="18"/>
        <v>183.22</v>
      </c>
      <c r="Y66" s="3"/>
      <c r="Z66" s="7">
        <f t="shared" si="19"/>
        <v>0</v>
      </c>
    </row>
    <row r="67" spans="1:26" s="68" customFormat="1" ht="15" customHeight="1" outlineLevel="1" collapsed="1" x14ac:dyDescent="0.3">
      <c r="A67" s="25"/>
      <c r="B67" s="14" t="str">
        <f>CONCATENATE("     ","Services                                          ")</f>
        <v xml:space="preserve">     Services                                          </v>
      </c>
      <c r="C67" s="14"/>
      <c r="D67" s="2">
        <f>SUM(OSRRefD22_9x_0)</f>
        <v>204.81</v>
      </c>
      <c r="E67" s="2"/>
      <c r="F67" s="6">
        <f t="shared" si="12"/>
        <v>4.677259716372761E-3</v>
      </c>
      <c r="G67" s="2"/>
      <c r="H67" s="2">
        <f>SUM(OSRRefH22_9x_0)</f>
        <v>0</v>
      </c>
      <c r="I67" s="2"/>
      <c r="J67" s="6">
        <f t="shared" si="13"/>
        <v>0</v>
      </c>
      <c r="K67" s="2"/>
      <c r="L67" s="2">
        <f t="shared" si="14"/>
        <v>204.81</v>
      </c>
      <c r="M67" s="2"/>
      <c r="N67" s="6">
        <f t="shared" si="15"/>
        <v>0</v>
      </c>
      <c r="O67" s="14"/>
      <c r="P67" s="2">
        <f>SUM(OSRRefP22_9x_0)</f>
        <v>3930.0299999999997</v>
      </c>
      <c r="Q67" s="2"/>
      <c r="R67" s="6">
        <f t="shared" si="16"/>
        <v>2.734423921810266E-2</v>
      </c>
      <c r="S67" s="2"/>
      <c r="T67" s="2">
        <f>SUM(OSRRefT22_9x_0)</f>
        <v>18.5</v>
      </c>
      <c r="U67" s="2"/>
      <c r="V67" s="6">
        <f t="shared" si="17"/>
        <v>8.6805881403458724E-4</v>
      </c>
      <c r="W67" s="2"/>
      <c r="X67" s="2">
        <f t="shared" si="18"/>
        <v>3911.5299999999997</v>
      </c>
      <c r="Y67" s="2"/>
      <c r="Z67" s="6">
        <f t="shared" si="19"/>
        <v>211.43405405405403</v>
      </c>
    </row>
    <row r="68" spans="1:26" s="69" customFormat="1" ht="15" hidden="1" customHeight="1" outlineLevel="2" x14ac:dyDescent="0.3">
      <c r="A68" s="26"/>
      <c r="B68" s="12" t="str">
        <f>CONCATENATE("          ","6282"," - ","JANITORIAL/EXTERMINATOR EXPENS")</f>
        <v xml:space="preserve">          6282 - JANITORIAL/EXTERMINATOR EXPENS</v>
      </c>
      <c r="C68" s="12"/>
      <c r="D68" s="8">
        <v>69</v>
      </c>
      <c r="E68" s="3"/>
      <c r="F68" s="7">
        <f t="shared" si="12"/>
        <v>1.5757576311201628E-3</v>
      </c>
      <c r="G68" s="3"/>
      <c r="H68" s="8"/>
      <c r="I68" s="3"/>
      <c r="J68" s="7">
        <f t="shared" si="13"/>
        <v>0</v>
      </c>
      <c r="K68" s="3"/>
      <c r="L68" s="8">
        <f t="shared" si="14"/>
        <v>69</v>
      </c>
      <c r="M68" s="3"/>
      <c r="N68" s="7">
        <f t="shared" si="15"/>
        <v>0</v>
      </c>
      <c r="O68" s="12"/>
      <c r="P68" s="8">
        <v>767.6</v>
      </c>
      <c r="Q68" s="3"/>
      <c r="R68" s="7">
        <f t="shared" si="16"/>
        <v>5.3407831552979507E-3</v>
      </c>
      <c r="S68" s="3"/>
      <c r="T68" s="8">
        <v>176</v>
      </c>
      <c r="U68" s="3"/>
      <c r="V68" s="7">
        <f t="shared" si="17"/>
        <v>8.2582892578425601E-3</v>
      </c>
      <c r="W68" s="3"/>
      <c r="X68" s="8">
        <f t="shared" si="18"/>
        <v>591.6</v>
      </c>
      <c r="Y68" s="3"/>
      <c r="Z68" s="7">
        <f t="shared" si="19"/>
        <v>3.3613636363636363</v>
      </c>
    </row>
    <row r="69" spans="1:26" s="69" customFormat="1" ht="15" hidden="1" customHeight="1" outlineLevel="2" x14ac:dyDescent="0.3">
      <c r="A69" s="26"/>
      <c r="B69" s="12" t="str">
        <f>CONCATENATE("          ","6285"," - ","JANITORIAL SERVICES")</f>
        <v xml:space="preserve">          6285 - JANITORIAL SERVICES</v>
      </c>
      <c r="C69" s="12"/>
      <c r="D69" s="8">
        <v>135.81</v>
      </c>
      <c r="E69" s="3"/>
      <c r="F69" s="7">
        <f t="shared" si="12"/>
        <v>3.1015020852525987E-3</v>
      </c>
      <c r="G69" s="3"/>
      <c r="H69" s="8"/>
      <c r="I69" s="3"/>
      <c r="J69" s="7">
        <f t="shared" si="13"/>
        <v>0</v>
      </c>
      <c r="K69" s="3"/>
      <c r="L69" s="8">
        <f t="shared" si="14"/>
        <v>135.81</v>
      </c>
      <c r="M69" s="3"/>
      <c r="N69" s="7">
        <f t="shared" si="15"/>
        <v>0</v>
      </c>
      <c r="O69" s="12"/>
      <c r="P69" s="8">
        <v>3162.43</v>
      </c>
      <c r="Q69" s="3"/>
      <c r="R69" s="7">
        <f t="shared" si="16"/>
        <v>2.200345606280471E-2</v>
      </c>
      <c r="S69" s="3"/>
      <c r="T69" s="8">
        <v>-157.5</v>
      </c>
      <c r="U69" s="3"/>
      <c r="V69" s="7">
        <f t="shared" si="17"/>
        <v>-7.3902304438079732E-3</v>
      </c>
      <c r="W69" s="3"/>
      <c r="X69" s="8">
        <f t="shared" si="18"/>
        <v>3319.93</v>
      </c>
      <c r="Y69" s="3"/>
      <c r="Z69" s="7">
        <f t="shared" si="19"/>
        <v>-21.078920634920635</v>
      </c>
    </row>
    <row r="70" spans="1:26" s="68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SUM(OSRRefD22_10x_0)</f>
        <v>45.27</v>
      </c>
      <c r="E70" s="2"/>
      <c r="F70" s="6">
        <f t="shared" si="12"/>
        <v>1.0338340284175328E-3</v>
      </c>
      <c r="G70" s="2"/>
      <c r="H70" s="2">
        <f>SUM(OSRRefH22_10x_0)</f>
        <v>0</v>
      </c>
      <c r="I70" s="2"/>
      <c r="J70" s="6">
        <f t="shared" si="13"/>
        <v>0</v>
      </c>
      <c r="K70" s="2"/>
      <c r="L70" s="2">
        <f t="shared" si="14"/>
        <v>45.27</v>
      </c>
      <c r="M70" s="2"/>
      <c r="N70" s="6">
        <f t="shared" si="15"/>
        <v>0</v>
      </c>
      <c r="O70" s="14"/>
      <c r="P70" s="2">
        <f>SUM(OSRRefP22_10x_0)</f>
        <v>45.27</v>
      </c>
      <c r="Q70" s="2"/>
      <c r="R70" s="6">
        <f t="shared" si="16"/>
        <v>3.1497818322086794E-4</v>
      </c>
      <c r="S70" s="2"/>
      <c r="T70" s="2">
        <f>SUM(OSRRefT22_10x_0)</f>
        <v>0</v>
      </c>
      <c r="U70" s="2"/>
      <c r="V70" s="6">
        <f t="shared" si="17"/>
        <v>0</v>
      </c>
      <c r="W70" s="2"/>
      <c r="X70" s="2">
        <f t="shared" si="18"/>
        <v>45.27</v>
      </c>
      <c r="Y70" s="2"/>
      <c r="Z70" s="6">
        <f t="shared" si="19"/>
        <v>0</v>
      </c>
    </row>
    <row r="71" spans="1:26" s="69" customFormat="1" ht="15" hidden="1" customHeight="1" outlineLevel="2" x14ac:dyDescent="0.3">
      <c r="A71" s="26"/>
      <c r="B71" s="12" t="str">
        <f>CONCATENATE("          ","6258"," - ","MEMBERSHIP DUES")</f>
        <v xml:space="preserve">          6258 - MEMBERSHIP DUES</v>
      </c>
      <c r="C71" s="12"/>
      <c r="D71" s="8">
        <v>45.27</v>
      </c>
      <c r="E71" s="3"/>
      <c r="F71" s="7">
        <f t="shared" si="12"/>
        <v>1.0338340284175328E-3</v>
      </c>
      <c r="G71" s="3"/>
      <c r="H71" s="8"/>
      <c r="I71" s="3"/>
      <c r="J71" s="7">
        <f t="shared" si="13"/>
        <v>0</v>
      </c>
      <c r="K71" s="3"/>
      <c r="L71" s="8">
        <f t="shared" si="14"/>
        <v>45.27</v>
      </c>
      <c r="M71" s="3"/>
      <c r="N71" s="7">
        <f t="shared" si="15"/>
        <v>0</v>
      </c>
      <c r="O71" s="12"/>
      <c r="P71" s="8">
        <v>45.27</v>
      </c>
      <c r="Q71" s="3"/>
      <c r="R71" s="7">
        <f t="shared" si="16"/>
        <v>3.1497818322086794E-4</v>
      </c>
      <c r="S71" s="3"/>
      <c r="T71" s="8"/>
      <c r="U71" s="3"/>
      <c r="V71" s="7">
        <f t="shared" si="17"/>
        <v>0</v>
      </c>
      <c r="W71" s="3"/>
      <c r="X71" s="8">
        <f t="shared" si="18"/>
        <v>45.27</v>
      </c>
      <c r="Y71" s="3"/>
      <c r="Z71" s="7">
        <f t="shared" si="19"/>
        <v>0</v>
      </c>
    </row>
    <row r="72" spans="1:26" s="68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SUM(OSRRefD22_11x_0)</f>
        <v>0</v>
      </c>
      <c r="E72" s="2"/>
      <c r="F72" s="6">
        <f t="shared" si="12"/>
        <v>0</v>
      </c>
      <c r="G72" s="2"/>
      <c r="H72" s="2">
        <f>SUM(OSRRefH22_11x_0)</f>
        <v>0</v>
      </c>
      <c r="I72" s="2"/>
      <c r="J72" s="6">
        <f t="shared" si="13"/>
        <v>0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SUM(OSRRefP22_11x_0)</f>
        <v>1747.49</v>
      </c>
      <c r="Q72" s="2"/>
      <c r="R72" s="6">
        <f t="shared" si="16"/>
        <v>1.2158631000588347E-2</v>
      </c>
      <c r="S72" s="2"/>
      <c r="T72" s="2">
        <f>SUM(OSRRefT22_11x_0)</f>
        <v>1892.27</v>
      </c>
      <c r="U72" s="2"/>
      <c r="V72" s="6">
        <f t="shared" si="17"/>
        <v>8.8789278488282622E-2</v>
      </c>
      <c r="W72" s="2"/>
      <c r="X72" s="2">
        <f t="shared" si="18"/>
        <v>-144.77999999999997</v>
      </c>
      <c r="Y72" s="2"/>
      <c r="Z72" s="6">
        <f t="shared" si="19"/>
        <v>-7.6511280102733739E-2</v>
      </c>
    </row>
    <row r="73" spans="1:26" s="69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1393.55</v>
      </c>
      <c r="Q73" s="3"/>
      <c r="R73" s="7">
        <f t="shared" si="16"/>
        <v>9.6959983924771471E-3</v>
      </c>
      <c r="S73" s="3"/>
      <c r="T73" s="8"/>
      <c r="U73" s="3"/>
      <c r="V73" s="7">
        <f t="shared" si="17"/>
        <v>0</v>
      </c>
      <c r="W73" s="3"/>
      <c r="X73" s="8">
        <f t="shared" si="18"/>
        <v>1393.55</v>
      </c>
      <c r="Y73" s="3"/>
      <c r="Z73" s="7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","6235"," - ","COVID-19 EXPENSES")</f>
        <v xml:space="preserve">          6235 - COVID-19 EXPENSES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444.3</v>
      </c>
      <c r="U74" s="3"/>
      <c r="V74" s="7">
        <f t="shared" si="17"/>
        <v>2.0847488166246871E-2</v>
      </c>
      <c r="W74" s="3"/>
      <c r="X74" s="8">
        <f t="shared" si="18"/>
        <v>-444.3</v>
      </c>
      <c r="Y74" s="3"/>
      <c r="Z74" s="7">
        <f t="shared" si="19"/>
        <v>-1</v>
      </c>
    </row>
    <row r="75" spans="1:26" s="69" customFormat="1" ht="15" hidden="1" customHeight="1" outlineLevel="2" x14ac:dyDescent="0.3">
      <c r="A75" s="26"/>
      <c r="B75" s="12" t="str">
        <f>CONCATENATE("          ","6241"," - ","OFFICE EXPENSE")</f>
        <v xml:space="preserve">          6241 - OFFICE EXPENSE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11.03</v>
      </c>
      <c r="Q75" s="3"/>
      <c r="R75" s="7">
        <f t="shared" si="16"/>
        <v>7.6744187340980181E-5</v>
      </c>
      <c r="S75" s="3"/>
      <c r="T75" s="8">
        <v>225.24</v>
      </c>
      <c r="U75" s="3"/>
      <c r="V75" s="7">
        <f t="shared" si="17"/>
        <v>1.056873336611624E-2</v>
      </c>
      <c r="W75" s="3"/>
      <c r="X75" s="8">
        <f t="shared" si="18"/>
        <v>-214.21</v>
      </c>
      <c r="Y75" s="3"/>
      <c r="Z75" s="7">
        <f t="shared" si="19"/>
        <v>-0.95103001243118446</v>
      </c>
    </row>
    <row r="76" spans="1:26" s="69" customFormat="1" ht="15" hidden="1" customHeight="1" outlineLevel="2" x14ac:dyDescent="0.3">
      <c r="A76" s="26"/>
      <c r="B76" s="12" t="str">
        <f>CONCATENATE("          ","6247"," - ","STORE SUPPLIES")</f>
        <v xml:space="preserve">          6247 - STORE SUPPLIES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342.91</v>
      </c>
      <c r="Q76" s="3"/>
      <c r="R76" s="7">
        <f t="shared" si="16"/>
        <v>2.3858884207702191E-3</v>
      </c>
      <c r="S76" s="3"/>
      <c r="T76" s="8">
        <v>1222.73</v>
      </c>
      <c r="U76" s="3"/>
      <c r="V76" s="7">
        <f t="shared" si="17"/>
        <v>5.7373056955919509E-2</v>
      </c>
      <c r="W76" s="3"/>
      <c r="X76" s="8">
        <f t="shared" si="18"/>
        <v>-879.81999999999994</v>
      </c>
      <c r="Y76" s="3"/>
      <c r="Z76" s="7">
        <f t="shared" si="19"/>
        <v>-0.7195537853818913</v>
      </c>
    </row>
    <row r="77" spans="1:26" s="68" customFormat="1" ht="15" customHeight="1" outlineLevel="1" collapsed="1" x14ac:dyDescent="0.3">
      <c r="A77" s="25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37</v>
      </c>
      <c r="E77" s="2"/>
      <c r="F77" s="6">
        <f t="shared" si="12"/>
        <v>8.4497148335429021E-4</v>
      </c>
      <c r="G77" s="2"/>
      <c r="H77" s="2">
        <f>SUM(OSRRefH22_12x_0)</f>
        <v>53</v>
      </c>
      <c r="I77" s="2"/>
      <c r="J77" s="6">
        <f t="shared" si="13"/>
        <v>0</v>
      </c>
      <c r="K77" s="2"/>
      <c r="L77" s="2">
        <f t="shared" si="14"/>
        <v>-16</v>
      </c>
      <c r="M77" s="2"/>
      <c r="N77" s="6">
        <f t="shared" si="15"/>
        <v>-0.30188679245283018</v>
      </c>
      <c r="O77" s="14"/>
      <c r="P77" s="2">
        <f>SUM(OSRRefP22_12x_0)</f>
        <v>355.14</v>
      </c>
      <c r="Q77" s="2"/>
      <c r="R77" s="6">
        <f t="shared" si="16"/>
        <v>2.4709819303967095E-3</v>
      </c>
      <c r="S77" s="2"/>
      <c r="T77" s="2">
        <f>SUM(OSRRefT22_12x_0)</f>
        <v>472.05</v>
      </c>
      <c r="U77" s="2"/>
      <c r="V77" s="6">
        <f t="shared" si="17"/>
        <v>2.2149576387298753E-2</v>
      </c>
      <c r="W77" s="2"/>
      <c r="X77" s="2">
        <f t="shared" si="18"/>
        <v>-116.91000000000003</v>
      </c>
      <c r="Y77" s="2"/>
      <c r="Z77" s="6">
        <f t="shared" si="19"/>
        <v>-0.24766444232602483</v>
      </c>
    </row>
    <row r="78" spans="1:26" s="69" customFormat="1" ht="15" hidden="1" customHeight="1" outlineLevel="2" x14ac:dyDescent="0.3">
      <c r="A78" s="26"/>
      <c r="B78" s="12" t="str">
        <f>CONCATENATE("          ","6309"," - ","TELEPHONE")</f>
        <v xml:space="preserve">          6309 - TELEPHONE</v>
      </c>
      <c r="C78" s="12"/>
      <c r="D78" s="8">
        <v>37</v>
      </c>
      <c r="E78" s="3"/>
      <c r="F78" s="7">
        <f t="shared" si="12"/>
        <v>8.4497148335429021E-4</v>
      </c>
      <c r="G78" s="3"/>
      <c r="H78" s="8">
        <v>53</v>
      </c>
      <c r="I78" s="3"/>
      <c r="J78" s="7">
        <f t="shared" si="13"/>
        <v>0</v>
      </c>
      <c r="K78" s="3"/>
      <c r="L78" s="8">
        <f t="shared" si="14"/>
        <v>-16</v>
      </c>
      <c r="M78" s="3"/>
      <c r="N78" s="7">
        <f t="shared" si="15"/>
        <v>-0.30188679245283018</v>
      </c>
      <c r="O78" s="12"/>
      <c r="P78" s="8">
        <v>355.14</v>
      </c>
      <c r="Q78" s="3"/>
      <c r="R78" s="7">
        <f t="shared" si="16"/>
        <v>2.4709819303967095E-3</v>
      </c>
      <c r="S78" s="3"/>
      <c r="T78" s="8">
        <v>472.05</v>
      </c>
      <c r="U78" s="3"/>
      <c r="V78" s="7">
        <f t="shared" si="17"/>
        <v>2.2149576387298753E-2</v>
      </c>
      <c r="W78" s="3"/>
      <c r="X78" s="8">
        <f t="shared" si="18"/>
        <v>-116.91000000000003</v>
      </c>
      <c r="Y78" s="3"/>
      <c r="Z78" s="7">
        <f t="shared" si="19"/>
        <v>-0.24766444232602483</v>
      </c>
    </row>
    <row r="79" spans="1:26" s="68" customFormat="1" ht="15" customHeight="1" outlineLevel="1" collapsed="1" x14ac:dyDescent="0.3">
      <c r="A79" s="25"/>
      <c r="B79" s="14" t="str">
        <f>CONCATENATE("     ","Training                                          ")</f>
        <v xml:space="preserve">     Training                                          </v>
      </c>
      <c r="C79" s="14"/>
      <c r="D79" s="2">
        <f>SUM(OSRRefD22_13x_0)</f>
        <v>0</v>
      </c>
      <c r="E79" s="2"/>
      <c r="F79" s="6">
        <f t="shared" si="12"/>
        <v>0</v>
      </c>
      <c r="G79" s="2"/>
      <c r="H79" s="2">
        <f>SUM(OSRRefH22_13x_0)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SUM(OSRRefP22_13x_0)</f>
        <v>0</v>
      </c>
      <c r="Q79" s="2"/>
      <c r="R79" s="6">
        <f t="shared" si="16"/>
        <v>0</v>
      </c>
      <c r="S79" s="2"/>
      <c r="T79" s="2">
        <f>SUM(OSRRefT22_13x_0)</f>
        <v>14</v>
      </c>
      <c r="U79" s="2"/>
      <c r="V79" s="6">
        <f t="shared" si="17"/>
        <v>6.5690937278293094E-4</v>
      </c>
      <c r="W79" s="2"/>
      <c r="X79" s="2">
        <f t="shared" si="18"/>
        <v>-14</v>
      </c>
      <c r="Y79" s="2"/>
      <c r="Z79" s="6">
        <f t="shared" si="19"/>
        <v>-1</v>
      </c>
    </row>
    <row r="80" spans="1:26" s="69" customFormat="1" ht="15" hidden="1" customHeight="1" outlineLevel="2" x14ac:dyDescent="0.3">
      <c r="A80" s="26"/>
      <c r="B80" s="12" t="str">
        <f>CONCATENATE("          ","6376"," - ","TRAINING")</f>
        <v xml:space="preserve">          6376 - TRAINING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14</v>
      </c>
      <c r="U80" s="3"/>
      <c r="V80" s="7">
        <f t="shared" si="17"/>
        <v>6.5690937278293094E-4</v>
      </c>
      <c r="W80" s="3"/>
      <c r="X80" s="8">
        <f t="shared" si="18"/>
        <v>-14</v>
      </c>
      <c r="Y80" s="3"/>
      <c r="Z80" s="7">
        <f t="shared" si="19"/>
        <v>-1</v>
      </c>
    </row>
    <row r="81" spans="1:26" s="64" customFormat="1" ht="15" customHeight="1" x14ac:dyDescent="0.3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x14ac:dyDescent="0.3">
      <c r="A82" s="11"/>
      <c r="B82" s="27" t="s">
        <v>290</v>
      </c>
      <c r="C82" s="11"/>
      <c r="D82" s="5">
        <f>SUM(0)</f>
        <v>0</v>
      </c>
      <c r="E82" s="5"/>
      <c r="F82" s="13">
        <f>IF(D$12=0,0,D82/D$12)</f>
        <v>0</v>
      </c>
      <c r="G82" s="5"/>
      <c r="H82" s="5">
        <f>SUM(0)</f>
        <v>0</v>
      </c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>
        <f>SUM(0)</f>
        <v>0</v>
      </c>
      <c r="Q82" s="5"/>
      <c r="R82" s="13">
        <f>IF(P$12=0,0,P82/P$12)</f>
        <v>0</v>
      </c>
      <c r="S82" s="5"/>
      <c r="T82" s="5">
        <f>SUM(0)</f>
        <v>0</v>
      </c>
      <c r="U82" s="5"/>
      <c r="V82" s="13">
        <f>IF(T$12=0,0,T82/T$12)</f>
        <v>0</v>
      </c>
      <c r="W82" s="5"/>
      <c r="X82" s="5">
        <f>+P82-T82</f>
        <v>0</v>
      </c>
      <c r="Y82" s="5"/>
      <c r="Z82" s="13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291</v>
      </c>
      <c r="C84" s="28"/>
      <c r="D84" s="23">
        <f>+D39-D41+D82</f>
        <v>12221.429999999997</v>
      </c>
      <c r="E84" s="15"/>
      <c r="F84" s="22">
        <f>IF(D$12=0,0,D84/D$12)</f>
        <v>0.27910161718407078</v>
      </c>
      <c r="G84" s="15"/>
      <c r="H84" s="23">
        <f>+H39-H41+H82</f>
        <v>-65.760000000000005</v>
      </c>
      <c r="I84" s="15"/>
      <c r="J84" s="22">
        <f>IF(H$12=0,0,H84/H$12)</f>
        <v>0</v>
      </c>
      <c r="K84" s="17"/>
      <c r="L84" s="23">
        <f>+D84-H84</f>
        <v>12287.189999999997</v>
      </c>
      <c r="M84" s="17"/>
      <c r="N84" s="22">
        <f>IF(H84=0,0,L84/H84)</f>
        <v>-186.8489963503649</v>
      </c>
      <c r="O84" s="27"/>
      <c r="P84" s="23">
        <f>+P39-P41+P82</f>
        <v>20794.000000000022</v>
      </c>
      <c r="Q84" s="15"/>
      <c r="R84" s="22">
        <f>IF(P$12=0,0,P84/P$12)</f>
        <v>0.14467983967074738</v>
      </c>
      <c r="S84" s="15"/>
      <c r="T84" s="23">
        <f>+T39-T41+T82</f>
        <v>-4964.8499999999913</v>
      </c>
      <c r="U84" s="15"/>
      <c r="V84" s="22">
        <f>IF(T$12=0,0,T84/T$12)</f>
        <v>-0.23296117853295206</v>
      </c>
      <c r="W84" s="17"/>
      <c r="X84" s="23">
        <f>+P84-T84</f>
        <v>25758.850000000013</v>
      </c>
      <c r="Y84" s="17"/>
      <c r="Z84" s="22">
        <f>IF(T84=0,0,X84/T84)</f>
        <v>-5.1882433507558252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4711.8100000000004</v>
      </c>
      <c r="E86" s="5"/>
      <c r="F86" s="13">
        <f>IF(D$12=0,0,D86/D$12)</f>
        <v>0.10760392121577239</v>
      </c>
      <c r="G86" s="5"/>
      <c r="H86" s="5">
        <v>351.84</v>
      </c>
      <c r="I86" s="5"/>
      <c r="J86" s="13">
        <f>IF(H$12=0,0,H86/H$12)</f>
        <v>0</v>
      </c>
      <c r="K86" s="5"/>
      <c r="L86" s="5">
        <f>+D86-H86</f>
        <v>4359.97</v>
      </c>
      <c r="M86" s="5"/>
      <c r="N86" s="13">
        <f>IF(H86=0,0,L86/H86)</f>
        <v>12.391911095952707</v>
      </c>
      <c r="O86" s="11"/>
      <c r="P86" s="5">
        <v>17940.05</v>
      </c>
      <c r="Q86" s="5"/>
      <c r="R86" s="13">
        <f>IF(P$12=0,0,P86/P$12)</f>
        <v>0.12482271605680431</v>
      </c>
      <c r="S86" s="5"/>
      <c r="T86" s="5">
        <v>4220.5200000000004</v>
      </c>
      <c r="U86" s="5"/>
      <c r="V86" s="13">
        <f>IF(T$12=0,0,T86/T$12)</f>
        <v>0.19803565328698686</v>
      </c>
      <c r="W86" s="5"/>
      <c r="X86" s="5">
        <f>+P86-T86</f>
        <v>13719.529999999999</v>
      </c>
      <c r="Y86" s="5"/>
      <c r="Z86" s="13">
        <f>IF(T86=0,0,X86/T86)</f>
        <v>3.2506729028650492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8" t="s">
        <v>293</v>
      </c>
      <c r="C88" s="28"/>
      <c r="D88" s="33">
        <f>+D84-D86</f>
        <v>7509.6199999999963</v>
      </c>
      <c r="E88" s="15"/>
      <c r="F88" s="34">
        <f>IF(D$12=0,0,D88/D$12)</f>
        <v>0.17149769596829842</v>
      </c>
      <c r="G88" s="15"/>
      <c r="H88" s="33">
        <f>+H84-H86</f>
        <v>-417.59999999999997</v>
      </c>
      <c r="I88" s="15"/>
      <c r="J88" s="34">
        <f>IF(H$12=0,0,H88/H$12)</f>
        <v>0</v>
      </c>
      <c r="K88" s="17"/>
      <c r="L88" s="33">
        <f>D88-H88</f>
        <v>7927.2199999999966</v>
      </c>
      <c r="M88" s="17"/>
      <c r="N88" s="34">
        <f>IF(H88=0,0,L88/H88)</f>
        <v>-18.982806513409955</v>
      </c>
      <c r="O88" s="27"/>
      <c r="P88" s="33">
        <f>+P84-P86</f>
        <v>2853.9500000000226</v>
      </c>
      <c r="Q88" s="15"/>
      <c r="R88" s="34">
        <f>IF(P$12=0,0,P88/P$12)</f>
        <v>1.9857123613943078E-2</v>
      </c>
      <c r="S88" s="15"/>
      <c r="T88" s="33">
        <f>+T84-T86</f>
        <v>-9185.3699999999917</v>
      </c>
      <c r="U88" s="15"/>
      <c r="V88" s="34">
        <f>IF(T$12=0,0,T88/T$12)</f>
        <v>-0.43099683181993892</v>
      </c>
      <c r="W88" s="17"/>
      <c r="X88" s="33">
        <f>P88-T88</f>
        <v>12039.320000000014</v>
      </c>
      <c r="Y88" s="17"/>
      <c r="Z88" s="34">
        <f>IF(T88=0,0,X88/T88)</f>
        <v>-1.310706046680757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8" t="s">
        <v>296</v>
      </c>
      <c r="C91" s="28"/>
      <c r="D91" s="35">
        <f>SUM(D88:D90)</f>
        <v>7509.6199999999963</v>
      </c>
      <c r="E91" s="15"/>
      <c r="F91" s="29">
        <f>IF(D$12=0,0,D91/D$12)</f>
        <v>0.17149769596829842</v>
      </c>
      <c r="G91" s="15"/>
      <c r="H91" s="35">
        <f>SUM(H88:H90)</f>
        <v>-417.59999999999997</v>
      </c>
      <c r="I91" s="15"/>
      <c r="J91" s="29">
        <f>IF(H$12=0,0,H91/H$12)</f>
        <v>0</v>
      </c>
      <c r="K91" s="17"/>
      <c r="L91" s="35">
        <f>+D91-H91</f>
        <v>7927.2199999999966</v>
      </c>
      <c r="M91" s="17"/>
      <c r="N91" s="29">
        <f>IF(H91=0,0,L91/H91)</f>
        <v>-18.982806513409955</v>
      </c>
      <c r="O91" s="27"/>
      <c r="P91" s="35">
        <f>SUM(P88:P90)</f>
        <v>2853.9500000000226</v>
      </c>
      <c r="Q91" s="15"/>
      <c r="R91" s="29">
        <f>IF(P$12=0,0,P91/P$12)</f>
        <v>1.9857123613943078E-2</v>
      </c>
      <c r="S91" s="15"/>
      <c r="T91" s="35">
        <f>SUM(T88:T90)</f>
        <v>-9185.3699999999917</v>
      </c>
      <c r="U91" s="15"/>
      <c r="V91" s="29">
        <f>IF(T$12=0,0,T91/T$12)</f>
        <v>-0.43099683181993892</v>
      </c>
      <c r="W91" s="17"/>
      <c r="X91" s="35">
        <f>+P91-T91</f>
        <v>12039.320000000014</v>
      </c>
      <c r="Y91" s="17"/>
      <c r="Z91" s="29">
        <f>IF(T91=0,0,X91/T91)</f>
        <v>-1.310706046680757</v>
      </c>
    </row>
    <row r="92" spans="1:26" ht="15" customHeight="1" x14ac:dyDescent="0.3">
      <c r="A92" s="10"/>
      <c r="C92" s="10"/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3">
      <c r="A93" s="10"/>
      <c r="B93" s="50">
        <v>44634.887810300927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3">
      <c r="A94" s="10"/>
      <c r="B94" s="58" t="s">
        <v>297</v>
      </c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3">
      <c r="A95" s="10"/>
      <c r="B95" s="56"/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3"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2A91D-80D9-6D06-0A91-250F2EDDDAB9}">
  <sheetPr>
    <tabColor rgb="FFFFFF00"/>
    <outlinePr summaryBelow="0" summaryRight="0"/>
  </sheetPr>
  <dimension ref="A2:Z17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575979.44000000006</v>
      </c>
      <c r="E12" s="5"/>
      <c r="F12" s="13"/>
      <c r="G12" s="5"/>
      <c r="H12" s="5">
        <f>SUM(OSRRefH13x_0)</f>
        <v>120315.20999999999</v>
      </c>
      <c r="I12" s="5"/>
      <c r="J12" s="13"/>
      <c r="K12" s="5"/>
      <c r="L12" s="5">
        <f t="shared" ref="L12:L56" si="0">+D12-H12</f>
        <v>455664.2300000001</v>
      </c>
      <c r="M12" s="5"/>
      <c r="N12" s="13">
        <f t="shared" ref="N12:N56" si="1">IF(H12=0,0,L12/H12)</f>
        <v>3.7872537478844124</v>
      </c>
      <c r="O12" s="11"/>
      <c r="P12" s="5">
        <f>SUM(OSRRefP13x_0)</f>
        <v>2920464.6300000004</v>
      </c>
      <c r="Q12" s="5"/>
      <c r="R12" s="13"/>
      <c r="S12" s="5"/>
      <c r="T12" s="5">
        <f>SUM(OSRRefT13x_0)</f>
        <v>1332440.0599999998</v>
      </c>
      <c r="U12" s="5"/>
      <c r="V12" s="13"/>
      <c r="W12" s="5"/>
      <c r="X12" s="5">
        <f t="shared" ref="X12:X56" si="2">+P12-T12</f>
        <v>1588024.5700000005</v>
      </c>
      <c r="Y12" s="5"/>
      <c r="Z12" s="13">
        <f t="shared" ref="Z12:Z56" si="3">IF(T12=0,0,X12/T12)</f>
        <v>1.1918168911853346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--512055.58</f>
        <v>512055.58</v>
      </c>
      <c r="E13" s="3"/>
      <c r="F13" s="20"/>
      <c r="G13" s="3"/>
      <c r="H13" s="3">
        <f>-7056.82</f>
        <v>-7056.82</v>
      </c>
      <c r="I13" s="3"/>
      <c r="J13" s="20"/>
      <c r="K13" s="3"/>
      <c r="L13" s="3">
        <f t="shared" si="0"/>
        <v>519112.4</v>
      </c>
      <c r="M13" s="3"/>
      <c r="N13" s="20">
        <f t="shared" si="1"/>
        <v>-73.561802624978398</v>
      </c>
      <c r="O13" s="12"/>
      <c r="P13" s="3">
        <f>--2718472.47</f>
        <v>2718472.47</v>
      </c>
      <c r="Q13" s="3"/>
      <c r="R13" s="20"/>
      <c r="S13" s="3"/>
      <c r="T13" s="3">
        <f>-100294.54</f>
        <v>-100294.54</v>
      </c>
      <c r="U13" s="3"/>
      <c r="V13" s="20"/>
      <c r="W13" s="3"/>
      <c r="X13" s="3">
        <f t="shared" si="2"/>
        <v>2818767.0100000002</v>
      </c>
      <c r="Y13" s="3"/>
      <c r="Z13" s="20">
        <f t="shared" si="3"/>
        <v>-28.104889957120303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--41.38</f>
        <v>41.38</v>
      </c>
      <c r="I14" s="3"/>
      <c r="J14" s="20"/>
      <c r="K14" s="3"/>
      <c r="L14" s="3">
        <f t="shared" si="0"/>
        <v>-41.38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--448.38</f>
        <v>448.38</v>
      </c>
      <c r="U14" s="3"/>
      <c r="V14" s="20"/>
      <c r="W14" s="3"/>
      <c r="X14" s="3">
        <f t="shared" si="2"/>
        <v>-448.38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--5808.1</f>
        <v>5808.1</v>
      </c>
      <c r="I15" s="3"/>
      <c r="J15" s="20"/>
      <c r="K15" s="3"/>
      <c r="L15" s="3">
        <f t="shared" si="0"/>
        <v>-5808.1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--54484.32</f>
        <v>54484.32</v>
      </c>
      <c r="U15" s="3"/>
      <c r="V15" s="20"/>
      <c r="W15" s="3"/>
      <c r="X15" s="3">
        <f t="shared" si="2"/>
        <v>-54484.32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--1924.8</f>
        <v>1924.8</v>
      </c>
      <c r="I16" s="3"/>
      <c r="J16" s="20"/>
      <c r="K16" s="3"/>
      <c r="L16" s="3">
        <f t="shared" si="0"/>
        <v>-1924.8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--40876.62</f>
        <v>40876.620000000003</v>
      </c>
      <c r="U16" s="3"/>
      <c r="V16" s="20"/>
      <c r="W16" s="3"/>
      <c r="X16" s="3">
        <f t="shared" si="2"/>
        <v>-40876.620000000003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--593.6</f>
        <v>593.6</v>
      </c>
      <c r="I17" s="3"/>
      <c r="J17" s="20"/>
      <c r="K17" s="3"/>
      <c r="L17" s="3">
        <f t="shared" si="0"/>
        <v>-593.6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--3180.84</f>
        <v>3180.84</v>
      </c>
      <c r="U17" s="3"/>
      <c r="V17" s="20"/>
      <c r="W17" s="3"/>
      <c r="X17" s="3">
        <f t="shared" si="2"/>
        <v>-3180.84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--73245.08</f>
        <v>73245.08</v>
      </c>
      <c r="I19" s="3"/>
      <c r="J19" s="20"/>
      <c r="K19" s="3"/>
      <c r="L19" s="3">
        <f t="shared" si="0"/>
        <v>-73245.08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--671347.98</f>
        <v>671347.98</v>
      </c>
      <c r="U19" s="3"/>
      <c r="V19" s="20"/>
      <c r="W19" s="3"/>
      <c r="X19" s="3">
        <f t="shared" si="2"/>
        <v>-671347.98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--23539.79</f>
        <v>23539.79</v>
      </c>
      <c r="I20" s="3"/>
      <c r="J20" s="20"/>
      <c r="K20" s="3"/>
      <c r="L20" s="3">
        <f t="shared" si="0"/>
        <v>-23539.79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--184133.09</f>
        <v>184133.09</v>
      </c>
      <c r="U20" s="3"/>
      <c r="V20" s="20"/>
      <c r="W20" s="3"/>
      <c r="X20" s="3">
        <f t="shared" si="2"/>
        <v>-184133.09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--4190.99</f>
        <v>4190.99</v>
      </c>
      <c r="I21" s="3"/>
      <c r="J21" s="20"/>
      <c r="K21" s="3"/>
      <c r="L21" s="3">
        <f t="shared" si="0"/>
        <v>-4190.99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--63846.29</f>
        <v>63846.29</v>
      </c>
      <c r="U21" s="3"/>
      <c r="V21" s="20"/>
      <c r="W21" s="3"/>
      <c r="X21" s="3">
        <f t="shared" si="2"/>
        <v>-63846.29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--6192.38</f>
        <v>6192.38</v>
      </c>
      <c r="I22" s="3"/>
      <c r="J22" s="20"/>
      <c r="K22" s="3"/>
      <c r="L22" s="3">
        <f t="shared" si="0"/>
        <v>-6192.38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--124112.88</f>
        <v>124112.88</v>
      </c>
      <c r="U22" s="3"/>
      <c r="V22" s="20"/>
      <c r="W22" s="3"/>
      <c r="X22" s="3">
        <f t="shared" si="2"/>
        <v>-124112.88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--2036.78</f>
        <v>2036.78</v>
      </c>
      <c r="I23" s="3"/>
      <c r="J23" s="20"/>
      <c r="K23" s="3"/>
      <c r="L23" s="3">
        <f t="shared" si="0"/>
        <v>-2036.78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--29572.4</f>
        <v>29572.400000000001</v>
      </c>
      <c r="U23" s="3"/>
      <c r="V23" s="20"/>
      <c r="W23" s="3"/>
      <c r="X23" s="3">
        <f t="shared" si="2"/>
        <v>-29572.400000000001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--10039.9</f>
        <v>10039.9</v>
      </c>
      <c r="I24" s="3"/>
      <c r="J24" s="20"/>
      <c r="K24" s="3"/>
      <c r="L24" s="3">
        <f t="shared" si="0"/>
        <v>-10039.9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--135489.57</f>
        <v>135489.57</v>
      </c>
      <c r="U24" s="3"/>
      <c r="V24" s="20"/>
      <c r="W24" s="3"/>
      <c r="X24" s="3">
        <f t="shared" si="2"/>
        <v>-135489.57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","4081"," - ","TAXABLE SALES-ELECTRONICS")</f>
        <v xml:space="preserve">          4081 - TAXABLE SALES-ELECTRONICS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--71.95</f>
        <v>71.95</v>
      </c>
      <c r="U25" s="3"/>
      <c r="V25" s="20"/>
      <c r="W25" s="3"/>
      <c r="X25" s="3">
        <f t="shared" si="2"/>
        <v>-71.95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","4083"," - ","TAXABLE SALES-COMPUTER EQUIPME")</f>
        <v xml:space="preserve">          4083 - TAXABLE SALES-COMPUTER EQUIPME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--9.99</f>
        <v>9.99</v>
      </c>
      <c r="U26" s="3"/>
      <c r="V26" s="20"/>
      <c r="W26" s="3"/>
      <c r="X26" s="3">
        <f t="shared" si="2"/>
        <v>-9.99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","4100"," - ","NON-TAXABLE SALES")</f>
        <v xml:space="preserve">          4100 - NON-TAXABLE SALES</v>
      </c>
      <c r="C27" s="12"/>
      <c r="D27" s="3">
        <f>--86218.32</f>
        <v>86218.32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86218.32</v>
      </c>
      <c r="M27" s="3"/>
      <c r="N27" s="20">
        <f t="shared" si="1"/>
        <v>0</v>
      </c>
      <c r="O27" s="12"/>
      <c r="P27" s="3">
        <f>--359218.84</f>
        <v>359218.84</v>
      </c>
      <c r="Q27" s="3"/>
      <c r="R27" s="20"/>
      <c r="S27" s="3"/>
      <c r="T27" s="3">
        <f>0</f>
        <v>0</v>
      </c>
      <c r="U27" s="3"/>
      <c r="V27" s="20"/>
      <c r="W27" s="3"/>
      <c r="X27" s="3">
        <f t="shared" si="2"/>
        <v>359218.84</v>
      </c>
      <c r="Y27" s="3"/>
      <c r="Z27" s="20">
        <f t="shared" si="3"/>
        <v>0</v>
      </c>
    </row>
    <row r="28" spans="1:26" s="69" customFormat="1" ht="15" hidden="1" customHeight="1" outlineLevel="1" x14ac:dyDescent="0.3">
      <c r="A28" s="42"/>
      <c r="B28" s="12" t="str">
        <f>CONCATENATE("          ","4126"," - ","NON-TAXABLE SALES-WRITING INST")</f>
        <v xml:space="preserve">          4126 - NON-TAXABLE SALES-WRITING INST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--52.68</f>
        <v>52.68</v>
      </c>
      <c r="U28" s="3"/>
      <c r="V28" s="20"/>
      <c r="W28" s="3"/>
      <c r="X28" s="3">
        <f t="shared" si="2"/>
        <v>-52.68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","4127"," - ","NON-TAXABLE SALES-SCHOOL SUPPL")</f>
        <v xml:space="preserve">          4127 - NON-TAXABLE SALES-SCHOOL SUPPL</v>
      </c>
      <c r="C29" s="12"/>
      <c r="D29" s="3">
        <f>0</f>
        <v>0</v>
      </c>
      <c r="E29" s="3"/>
      <c r="F29" s="20"/>
      <c r="G29" s="3"/>
      <c r="H29" s="3">
        <f>--472.19</f>
        <v>472.19</v>
      </c>
      <c r="I29" s="3"/>
      <c r="J29" s="20"/>
      <c r="K29" s="3"/>
      <c r="L29" s="3">
        <f t="shared" si="0"/>
        <v>-472.19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--6217.36</f>
        <v>6217.36</v>
      </c>
      <c r="U29" s="3"/>
      <c r="V29" s="20"/>
      <c r="W29" s="3"/>
      <c r="X29" s="3">
        <f t="shared" si="2"/>
        <v>-6217.36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","4128"," - ","NON-TAXABLE SALES-ART/TECH")</f>
        <v xml:space="preserve">          4128 - NON-TAXABLE SALES-ART/TECH</v>
      </c>
      <c r="C30" s="12"/>
      <c r="D30" s="3">
        <f>0</f>
        <v>0</v>
      </c>
      <c r="E30" s="3"/>
      <c r="F30" s="20"/>
      <c r="G30" s="3"/>
      <c r="H30" s="3">
        <f>--9.08</f>
        <v>9.08</v>
      </c>
      <c r="I30" s="3"/>
      <c r="J30" s="20"/>
      <c r="K30" s="3"/>
      <c r="L30" s="3">
        <f t="shared" si="0"/>
        <v>-9.08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--38.58</f>
        <v>38.58</v>
      </c>
      <c r="U30" s="3"/>
      <c r="V30" s="20"/>
      <c r="W30" s="3"/>
      <c r="X30" s="3">
        <f t="shared" si="2"/>
        <v>-38.58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","4131"," - ","NON-TAXABLE SALES-FOOD")</f>
        <v xml:space="preserve">          4131 - NON-TAXABLE SALES-FOOD</v>
      </c>
      <c r="C31" s="12"/>
      <c r="D31" s="3">
        <f>0</f>
        <v>0</v>
      </c>
      <c r="E31" s="3"/>
      <c r="F31" s="20"/>
      <c r="G31" s="3"/>
      <c r="H31" s="3">
        <f>--934.88</f>
        <v>934.88</v>
      </c>
      <c r="I31" s="3"/>
      <c r="J31" s="20"/>
      <c r="K31" s="3"/>
      <c r="L31" s="3">
        <f t="shared" si="0"/>
        <v>-934.88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--9575.15</f>
        <v>9575.15</v>
      </c>
      <c r="U31" s="3"/>
      <c r="V31" s="20"/>
      <c r="W31" s="3"/>
      <c r="X31" s="3">
        <f t="shared" si="2"/>
        <v>-9575.15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","4132"," - ","NON-TAXABLE SALES-JUICE")</f>
        <v xml:space="preserve">          4132 - NON-TAXABLE SALES-JUICE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--22.49</f>
        <v>22.49</v>
      </c>
      <c r="U32" s="3"/>
      <c r="V32" s="20"/>
      <c r="W32" s="3"/>
      <c r="X32" s="3">
        <f t="shared" si="2"/>
        <v>-22.49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","4133"," - ","NON-TAXABLE SALES-CANDY")</f>
        <v xml:space="preserve">          4133 - NON-TAXABLE SALES-CANDY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--80.71</f>
        <v>80.709999999999994</v>
      </c>
      <c r="U33" s="3"/>
      <c r="V33" s="20"/>
      <c r="W33" s="3"/>
      <c r="X33" s="3">
        <f t="shared" si="2"/>
        <v>-80.709999999999994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","4134"," - ","NON-TAXABLE SALES-SODA")</f>
        <v xml:space="preserve">          4134 - NON-TAXABLE SALES-SODA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--45.53</f>
        <v>45.53</v>
      </c>
      <c r="U34" s="3"/>
      <c r="V34" s="20"/>
      <c r="W34" s="3"/>
      <c r="X34" s="3">
        <f t="shared" si="2"/>
        <v>-45.53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","4137"," - ","NON-TAXABLE SALES-WATER")</f>
        <v xml:space="preserve">          4137 - NON-TAXABLE SALES-WATER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--68.25</f>
        <v>68.25</v>
      </c>
      <c r="U35" s="3"/>
      <c r="V35" s="20"/>
      <c r="W35" s="3"/>
      <c r="X35" s="3">
        <f t="shared" si="2"/>
        <v>-68.25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","4140"," - ","NON-TAXABLE SALES-LOGO CLOTHIN")</f>
        <v xml:space="preserve">          4140 - NON-TAXABLE SALES-LOGO CLOTHIN</v>
      </c>
      <c r="C36" s="12"/>
      <c r="D36" s="3">
        <f>0</f>
        <v>0</v>
      </c>
      <c r="E36" s="3"/>
      <c r="F36" s="20"/>
      <c r="G36" s="3"/>
      <c r="H36" s="3">
        <f>--1947.86</f>
        <v>1947.86</v>
      </c>
      <c r="I36" s="3"/>
      <c r="J36" s="20"/>
      <c r="K36" s="3"/>
      <c r="L36" s="3">
        <f t="shared" si="0"/>
        <v>-1947.86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--115125.28</f>
        <v>115125.28</v>
      </c>
      <c r="U36" s="3"/>
      <c r="V36" s="20"/>
      <c r="W36" s="3"/>
      <c r="X36" s="3">
        <f t="shared" si="2"/>
        <v>-115125.28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","4141"," - ","NON-TAXABLE SALES-LOGO GIFTS")</f>
        <v xml:space="preserve">          4141 - NON-TAXABLE SALES-LOGO GIFTS</v>
      </c>
      <c r="C37" s="12"/>
      <c r="D37" s="3">
        <f>0</f>
        <v>0</v>
      </c>
      <c r="E37" s="3"/>
      <c r="F37" s="20"/>
      <c r="G37" s="3"/>
      <c r="H37" s="3">
        <f>--620.86</f>
        <v>620.86</v>
      </c>
      <c r="I37" s="3"/>
      <c r="J37" s="20"/>
      <c r="K37" s="3"/>
      <c r="L37" s="3">
        <f t="shared" si="0"/>
        <v>-620.86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--7234.38</f>
        <v>7234.38</v>
      </c>
      <c r="U37" s="3"/>
      <c r="V37" s="20"/>
      <c r="W37" s="3"/>
      <c r="X37" s="3">
        <f t="shared" si="2"/>
        <v>-7234.38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","4142"," - ","NON-TAXABLE SALES-EVERYDAY GIF")</f>
        <v xml:space="preserve">          4142 - NON-TAXABLE SALES-EVERYDAY GIF</v>
      </c>
      <c r="C38" s="12"/>
      <c r="D38" s="3">
        <f>0</f>
        <v>0</v>
      </c>
      <c r="E38" s="3"/>
      <c r="F38" s="20"/>
      <c r="G38" s="3"/>
      <c r="H38" s="3">
        <f>--4.58</f>
        <v>4.58</v>
      </c>
      <c r="I38" s="3"/>
      <c r="J38" s="20"/>
      <c r="K38" s="3"/>
      <c r="L38" s="3">
        <f t="shared" si="0"/>
        <v>-4.58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--1153.88</f>
        <v>1153.8800000000001</v>
      </c>
      <c r="U38" s="3"/>
      <c r="V38" s="20"/>
      <c r="W38" s="3"/>
      <c r="X38" s="3">
        <f t="shared" si="2"/>
        <v>-1153.8800000000001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","4143"," - ","NON-TAXABLE SALES-CARDS")</f>
        <v xml:space="preserve">          4143 - NON-TAXABLE SALES-CARDS</v>
      </c>
      <c r="C39" s="12"/>
      <c r="D39" s="3">
        <f>0</f>
        <v>0</v>
      </c>
      <c r="E39" s="3"/>
      <c r="F39" s="20"/>
      <c r="G39" s="3"/>
      <c r="H39" s="3">
        <f>--149.92</f>
        <v>149.91999999999999</v>
      </c>
      <c r="I39" s="3"/>
      <c r="J39" s="20"/>
      <c r="K39" s="3"/>
      <c r="L39" s="3">
        <f t="shared" si="0"/>
        <v>-149.91999999999999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--2119.66</f>
        <v>2119.66</v>
      </c>
      <c r="U39" s="3"/>
      <c r="V39" s="20"/>
      <c r="W39" s="3"/>
      <c r="X39" s="3">
        <f t="shared" si="2"/>
        <v>-2119.66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","4144"," - ","NON-TAXABLE SALES-ACCESSORIES")</f>
        <v xml:space="preserve">          4144 - NON-TAXABLE SALES-ACCESSORIES</v>
      </c>
      <c r="C40" s="12"/>
      <c r="D40" s="3">
        <f>0</f>
        <v>0</v>
      </c>
      <c r="E40" s="3"/>
      <c r="F40" s="20"/>
      <c r="G40" s="3"/>
      <c r="H40" s="3">
        <f>--39.95</f>
        <v>39.950000000000003</v>
      </c>
      <c r="I40" s="3"/>
      <c r="J40" s="20"/>
      <c r="K40" s="3"/>
      <c r="L40" s="3">
        <f t="shared" si="0"/>
        <v>-39.950000000000003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--649.35</f>
        <v>649.35</v>
      </c>
      <c r="U40" s="3"/>
      <c r="V40" s="20"/>
      <c r="W40" s="3"/>
      <c r="X40" s="3">
        <f t="shared" si="2"/>
        <v>-649.35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","4145"," - ","NON-TAXABLE SALES-SPECIAL ORDE")</f>
        <v xml:space="preserve">          4145 - NON-TAXABLE SALES-SPECIAL ORDE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--53716.09</f>
        <v>53716.09</v>
      </c>
      <c r="U41" s="3"/>
      <c r="V41" s="20"/>
      <c r="W41" s="3"/>
      <c r="X41" s="3">
        <f t="shared" si="2"/>
        <v>-53716.09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","4200"," - ","TAXABLE RETURNS")</f>
        <v xml:space="preserve">          4200 - TAXABLE RETURNS</v>
      </c>
      <c r="C42" s="12"/>
      <c r="D42" s="3">
        <f>-14081.6</f>
        <v>-14081.6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-14081.6</v>
      </c>
      <c r="M42" s="3"/>
      <c r="N42" s="20">
        <f t="shared" si="1"/>
        <v>0</v>
      </c>
      <c r="O42" s="12"/>
      <c r="P42" s="3">
        <f>-79993.77</f>
        <v>-79993.77</v>
      </c>
      <c r="Q42" s="3"/>
      <c r="R42" s="20"/>
      <c r="S42" s="3"/>
      <c r="T42" s="3">
        <f>0</f>
        <v>0</v>
      </c>
      <c r="U42" s="3"/>
      <c r="V42" s="20"/>
      <c r="W42" s="3"/>
      <c r="X42" s="3">
        <f t="shared" si="2"/>
        <v>-79993.77</v>
      </c>
      <c r="Y42" s="3"/>
      <c r="Z42" s="20">
        <f t="shared" si="3"/>
        <v>0</v>
      </c>
    </row>
    <row r="43" spans="1:26" s="69" customFormat="1" ht="15" hidden="1" customHeight="1" outlineLevel="1" x14ac:dyDescent="0.3">
      <c r="A43" s="42"/>
      <c r="B43" s="12" t="str">
        <f>CONCATENATE("          ","4226"," - ","SALES RETURN TAXABLE-WRITING I")</f>
        <v xml:space="preserve">          4226 - SALES RETURN TAXABLE-WRITING I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-34.23</f>
        <v>-34.229999999999997</v>
      </c>
      <c r="U43" s="3"/>
      <c r="V43" s="20"/>
      <c r="W43" s="3"/>
      <c r="X43" s="3">
        <f t="shared" si="2"/>
        <v>34.229999999999997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","4227"," - ","SALES RETURN TAXABLE-SCHOOL SU")</f>
        <v xml:space="preserve">          4227 - SALES RETURN TAXABLE-SCHOOL SU</v>
      </c>
      <c r="C44" s="12"/>
      <c r="D44" s="3">
        <f>0</f>
        <v>0</v>
      </c>
      <c r="E44" s="3"/>
      <c r="F44" s="20"/>
      <c r="G44" s="3"/>
      <c r="H44" s="3">
        <f>-19.05</f>
        <v>-19.05</v>
      </c>
      <c r="I44" s="3"/>
      <c r="J44" s="20"/>
      <c r="K44" s="3"/>
      <c r="L44" s="3">
        <f t="shared" si="0"/>
        <v>19.05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-781.73</f>
        <v>-781.73</v>
      </c>
      <c r="U44" s="3"/>
      <c r="V44" s="20"/>
      <c r="W44" s="3"/>
      <c r="X44" s="3">
        <f t="shared" si="2"/>
        <v>781.73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","4228"," - ","SALES RETURN TAXABLE-ART/TECH")</f>
        <v xml:space="preserve">          4228 - SALES RETURN TAXABLE-ART/TECH</v>
      </c>
      <c r="C45" s="12"/>
      <c r="D45" s="3">
        <f>0</f>
        <v>0</v>
      </c>
      <c r="E45" s="3"/>
      <c r="F45" s="20"/>
      <c r="G45" s="3"/>
      <c r="H45" s="3">
        <f>-10.71</f>
        <v>-10.71</v>
      </c>
      <c r="I45" s="3"/>
      <c r="J45" s="20"/>
      <c r="K45" s="3"/>
      <c r="L45" s="3">
        <f t="shared" si="0"/>
        <v>10.71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-12739.24</f>
        <v>-12739.24</v>
      </c>
      <c r="U45" s="3"/>
      <c r="V45" s="20"/>
      <c r="W45" s="3"/>
      <c r="X45" s="3">
        <f t="shared" si="2"/>
        <v>12739.24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","4240"," - ","SALES RETURN TAXABLE-LOGO CLOT")</f>
        <v xml:space="preserve">          4240 - SALES RETURN TAXABLE-LOGO CLOT</v>
      </c>
      <c r="C46" s="12"/>
      <c r="D46" s="3">
        <f>0</f>
        <v>0</v>
      </c>
      <c r="E46" s="3"/>
      <c r="F46" s="20"/>
      <c r="G46" s="3"/>
      <c r="H46" s="3">
        <f>-3542.64</f>
        <v>-3542.64</v>
      </c>
      <c r="I46" s="3"/>
      <c r="J46" s="20"/>
      <c r="K46" s="3"/>
      <c r="L46" s="3">
        <f t="shared" si="0"/>
        <v>3542.64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-31129.51</f>
        <v>-31129.51</v>
      </c>
      <c r="U46" s="3"/>
      <c r="V46" s="20"/>
      <c r="W46" s="3"/>
      <c r="X46" s="3">
        <f t="shared" si="2"/>
        <v>31129.51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","4241"," - ","SALES RETURN TAXABLE-LOGO GIFT")</f>
        <v xml:space="preserve">          4241 - SALES RETURN TAXABLE-LOGO GIFT</v>
      </c>
      <c r="C47" s="12"/>
      <c r="D47" s="3">
        <f>0</f>
        <v>0</v>
      </c>
      <c r="E47" s="3"/>
      <c r="F47" s="20"/>
      <c r="G47" s="3"/>
      <c r="H47" s="3">
        <f>-338.05</f>
        <v>-338.05</v>
      </c>
      <c r="I47" s="3"/>
      <c r="J47" s="20"/>
      <c r="K47" s="3"/>
      <c r="L47" s="3">
        <f t="shared" si="0"/>
        <v>338.05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-4041.42</f>
        <v>-4041.42</v>
      </c>
      <c r="U47" s="3"/>
      <c r="V47" s="20"/>
      <c r="W47" s="3"/>
      <c r="X47" s="3">
        <f t="shared" si="2"/>
        <v>4041.42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","4242"," - ","SALES RETURN TAXABLE-EVERYDAY")</f>
        <v xml:space="preserve">          4242 - SALES RETURN TAXABLE-EVERYDAY</v>
      </c>
      <c r="C48" s="12"/>
      <c r="D48" s="3">
        <f>0</f>
        <v>0</v>
      </c>
      <c r="E48" s="3"/>
      <c r="F48" s="20"/>
      <c r="G48" s="3"/>
      <c r="H48" s="3">
        <f>-44.96</f>
        <v>-44.96</v>
      </c>
      <c r="I48" s="3"/>
      <c r="J48" s="20"/>
      <c r="K48" s="3"/>
      <c r="L48" s="3">
        <f t="shared" si="0"/>
        <v>44.96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-1738.74</f>
        <v>-1738.74</v>
      </c>
      <c r="U48" s="3"/>
      <c r="V48" s="20"/>
      <c r="W48" s="3"/>
      <c r="X48" s="3">
        <f t="shared" si="2"/>
        <v>1738.74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","4243"," - ","SALES RETURN TAXABLE-CARDS")</f>
        <v xml:space="preserve">          4243 - SALES RETURN TAXABLE-CARDS</v>
      </c>
      <c r="C49" s="12"/>
      <c r="D49" s="3">
        <f>0</f>
        <v>0</v>
      </c>
      <c r="E49" s="3"/>
      <c r="F49" s="20"/>
      <c r="G49" s="3"/>
      <c r="H49" s="3">
        <f>-369.81</f>
        <v>-369.81</v>
      </c>
      <c r="I49" s="3"/>
      <c r="J49" s="20"/>
      <c r="K49" s="3"/>
      <c r="L49" s="3">
        <f t="shared" si="0"/>
        <v>369.81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-5369.6</f>
        <v>-5369.6</v>
      </c>
      <c r="U49" s="3"/>
      <c r="V49" s="20"/>
      <c r="W49" s="3"/>
      <c r="X49" s="3">
        <f t="shared" si="2"/>
        <v>5369.6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","4244"," - ","SALES RETURN TAXABLE-ACCESSORI")</f>
        <v xml:space="preserve">          4244 - SALES RETURN TAXABLE-ACCESSORI</v>
      </c>
      <c r="C50" s="12"/>
      <c r="D50" s="3">
        <f>0</f>
        <v>0</v>
      </c>
      <c r="E50" s="3"/>
      <c r="F50" s="20"/>
      <c r="G50" s="3"/>
      <c r="H50" s="3">
        <f>-9.99</f>
        <v>-9.99</v>
      </c>
      <c r="I50" s="3"/>
      <c r="J50" s="20"/>
      <c r="K50" s="3"/>
      <c r="L50" s="3">
        <f t="shared" si="0"/>
        <v>9.99</v>
      </c>
      <c r="M50" s="3"/>
      <c r="N50" s="20">
        <f t="shared" si="1"/>
        <v>-1</v>
      </c>
      <c r="O50" s="12"/>
      <c r="P50" s="3">
        <f>0</f>
        <v>0</v>
      </c>
      <c r="Q50" s="3"/>
      <c r="R50" s="20"/>
      <c r="S50" s="3"/>
      <c r="T50" s="3">
        <f>-994.84</f>
        <v>-994.84</v>
      </c>
      <c r="U50" s="3"/>
      <c r="V50" s="20"/>
      <c r="W50" s="3"/>
      <c r="X50" s="3">
        <f t="shared" si="2"/>
        <v>994.84</v>
      </c>
      <c r="Y50" s="3"/>
      <c r="Z50" s="20">
        <f t="shared" si="3"/>
        <v>-1</v>
      </c>
    </row>
    <row r="51" spans="1:26" s="69" customFormat="1" ht="15" hidden="1" customHeight="1" outlineLevel="1" x14ac:dyDescent="0.3">
      <c r="A51" s="42"/>
      <c r="B51" s="12" t="str">
        <f>CONCATENATE("          ","4245"," - ","SALES RETURN TAXABLE-SPECIAL O")</f>
        <v xml:space="preserve">          4245 - SALES RETURN TAXABLE-SPECIAL O</v>
      </c>
      <c r="C51" s="12"/>
      <c r="D51" s="3">
        <f>0</f>
        <v>0</v>
      </c>
      <c r="E51" s="3"/>
      <c r="F51" s="20"/>
      <c r="G51" s="3"/>
      <c r="H51" s="3">
        <f>-7.98</f>
        <v>-7.98</v>
      </c>
      <c r="I51" s="3"/>
      <c r="J51" s="20"/>
      <c r="K51" s="3"/>
      <c r="L51" s="3">
        <f t="shared" si="0"/>
        <v>7.98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-11353.59</f>
        <v>-11353.59</v>
      </c>
      <c r="U51" s="3"/>
      <c r="V51" s="20"/>
      <c r="W51" s="3"/>
      <c r="X51" s="3">
        <f t="shared" si="2"/>
        <v>11353.59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","4300"," - ","NON-TAX RETURNS")</f>
        <v xml:space="preserve">          4300 - NON-TAX RETURNS</v>
      </c>
      <c r="C52" s="12"/>
      <c r="D52" s="3">
        <f>-245.74</f>
        <v>-245.74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-245.74</v>
      </c>
      <c r="M52" s="3"/>
      <c r="N52" s="20">
        <f t="shared" si="1"/>
        <v>0</v>
      </c>
      <c r="O52" s="12"/>
      <c r="P52" s="3">
        <f>-1898.53</f>
        <v>-1898.53</v>
      </c>
      <c r="Q52" s="3"/>
      <c r="R52" s="20"/>
      <c r="S52" s="3"/>
      <c r="T52" s="3">
        <f>0</f>
        <v>0</v>
      </c>
      <c r="U52" s="3"/>
      <c r="V52" s="20"/>
      <c r="W52" s="3"/>
      <c r="X52" s="3">
        <f t="shared" si="2"/>
        <v>-1898.53</v>
      </c>
      <c r="Y52" s="3"/>
      <c r="Z52" s="20">
        <f t="shared" si="3"/>
        <v>0</v>
      </c>
    </row>
    <row r="53" spans="1:26" s="69" customFormat="1" ht="15" hidden="1" customHeight="1" outlineLevel="1" x14ac:dyDescent="0.3">
      <c r="A53" s="42"/>
      <c r="B53" s="12" t="str">
        <f>CONCATENATE("          ","4340"," - ","SALES RETURN NON TAXABLE-LOGO")</f>
        <v xml:space="preserve">          4340 - SALES RETURN NON TAXABLE-LOGO</v>
      </c>
      <c r="C53" s="12"/>
      <c r="D53" s="3">
        <f>0</f>
        <v>0</v>
      </c>
      <c r="E53" s="3"/>
      <c r="F53" s="20"/>
      <c r="G53" s="3"/>
      <c r="H53" s="3">
        <f>-76.9</f>
        <v>-76.900000000000006</v>
      </c>
      <c r="I53" s="3"/>
      <c r="J53" s="20"/>
      <c r="K53" s="3"/>
      <c r="L53" s="3">
        <f t="shared" si="0"/>
        <v>76.900000000000006</v>
      </c>
      <c r="M53" s="3"/>
      <c r="N53" s="20">
        <f t="shared" si="1"/>
        <v>-1</v>
      </c>
      <c r="O53" s="12"/>
      <c r="P53" s="3">
        <f>0</f>
        <v>0</v>
      </c>
      <c r="Q53" s="3"/>
      <c r="R53" s="20"/>
      <c r="S53" s="3"/>
      <c r="T53" s="3">
        <f>-2292.84</f>
        <v>-2292.84</v>
      </c>
      <c r="U53" s="3"/>
      <c r="V53" s="20"/>
      <c r="W53" s="3"/>
      <c r="X53" s="3">
        <f t="shared" si="2"/>
        <v>2292.84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","4341"," - ","SALES RETURN NON TAXABLE-LOGO")</f>
        <v xml:space="preserve">          4341 - SALES RETURN NON TAXABLE-LOGO</v>
      </c>
      <c r="C54" s="12"/>
      <c r="D54" s="3">
        <f>0</f>
        <v>0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0</v>
      </c>
      <c r="M54" s="3"/>
      <c r="N54" s="20">
        <f t="shared" si="1"/>
        <v>0</v>
      </c>
      <c r="O54" s="12"/>
      <c r="P54" s="3">
        <f>0</f>
        <v>0</v>
      </c>
      <c r="Q54" s="3"/>
      <c r="R54" s="20"/>
      <c r="S54" s="3"/>
      <c r="T54" s="3">
        <f>-351.44</f>
        <v>-351.44</v>
      </c>
      <c r="U54" s="3"/>
      <c r="V54" s="20"/>
      <c r="W54" s="3"/>
      <c r="X54" s="3">
        <f t="shared" si="2"/>
        <v>351.44</v>
      </c>
      <c r="Y54" s="3"/>
      <c r="Z54" s="20">
        <f t="shared" si="3"/>
        <v>-1</v>
      </c>
    </row>
    <row r="55" spans="1:26" s="69" customFormat="1" ht="15" hidden="1" customHeight="1" outlineLevel="1" x14ac:dyDescent="0.3">
      <c r="A55" s="42"/>
      <c r="B55" s="12" t="str">
        <f>CONCATENATE("          ","4342"," - ","SALES RETURN NON TAXABLE-EVERY")</f>
        <v xml:space="preserve">          4342 - SALES RETURN NON TAXABLE-EVERY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0</v>
      </c>
      <c r="M55" s="3"/>
      <c r="N55" s="20">
        <f t="shared" si="1"/>
        <v>0</v>
      </c>
      <c r="O55" s="12"/>
      <c r="P55" s="3">
        <f>0</f>
        <v>0</v>
      </c>
      <c r="Q55" s="3"/>
      <c r="R55" s="20"/>
      <c r="S55" s="3"/>
      <c r="T55" s="3">
        <f>-118.7</f>
        <v>-118.7</v>
      </c>
      <c r="U55" s="3"/>
      <c r="V55" s="20"/>
      <c r="W55" s="3"/>
      <c r="X55" s="3">
        <f t="shared" si="2"/>
        <v>118.7</v>
      </c>
      <c r="Y55" s="3"/>
      <c r="Z55" s="20">
        <f t="shared" si="3"/>
        <v>-1</v>
      </c>
    </row>
    <row r="56" spans="1:26" s="69" customFormat="1" ht="15" hidden="1" customHeight="1" outlineLevel="1" x14ac:dyDescent="0.3">
      <c r="A56" s="42"/>
      <c r="B56" s="12" t="str">
        <f>CONCATENATE("          ","4500"," - ","SALES DISCOUNT")</f>
        <v xml:space="preserve">          4500 - SALES DISCOUNT</v>
      </c>
      <c r="C56" s="12"/>
      <c r="D56" s="3">
        <f>-7967.12</f>
        <v>-7967.12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0"/>
        <v>-7967.12</v>
      </c>
      <c r="M56" s="3"/>
      <c r="N56" s="20">
        <f t="shared" si="1"/>
        <v>0</v>
      </c>
      <c r="O56" s="12"/>
      <c r="P56" s="3">
        <f>-75334.38</f>
        <v>-75334.38</v>
      </c>
      <c r="Q56" s="3"/>
      <c r="R56" s="20"/>
      <c r="S56" s="3"/>
      <c r="T56" s="3">
        <f>0</f>
        <v>0</v>
      </c>
      <c r="U56" s="3"/>
      <c r="V56" s="20"/>
      <c r="W56" s="3"/>
      <c r="X56" s="3">
        <f t="shared" si="2"/>
        <v>-75334.38</v>
      </c>
      <c r="Y56" s="3"/>
      <c r="Z56" s="20">
        <f t="shared" si="3"/>
        <v>0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collapsed="1" x14ac:dyDescent="0.3">
      <c r="A58" s="11"/>
      <c r="B58" s="27" t="s">
        <v>287</v>
      </c>
      <c r="C58" s="11"/>
      <c r="D58" s="5">
        <f>SUM(OSRRefD16x_0)</f>
        <v>265161.48</v>
      </c>
      <c r="E58" s="5"/>
      <c r="F58" s="13">
        <f t="shared" ref="F58:F84" si="4">IF(D$12=0,0,D58/D$12)</f>
        <v>0.46036622418327977</v>
      </c>
      <c r="G58" s="5"/>
      <c r="H58" s="5">
        <f>SUM(OSRRefH16x_0)</f>
        <v>62378.759999999995</v>
      </c>
      <c r="I58" s="5"/>
      <c r="J58" s="13">
        <f t="shared" ref="J58:J84" si="5">IF(H$12=0,0,H58/H$12)</f>
        <v>0.51846113222093859</v>
      </c>
      <c r="K58" s="5"/>
      <c r="L58" s="5">
        <f t="shared" ref="L58:L84" si="6">+D58-H58</f>
        <v>202782.71999999997</v>
      </c>
      <c r="M58" s="5"/>
      <c r="N58" s="13">
        <f t="shared" ref="N58:N84" si="7">IF(H58=0,0,L58/H58)</f>
        <v>3.2508296093093225</v>
      </c>
      <c r="O58" s="11"/>
      <c r="P58" s="5">
        <f>SUM(OSRRefP16x_0)</f>
        <v>1422287.98</v>
      </c>
      <c r="Q58" s="5"/>
      <c r="R58" s="13">
        <f t="shared" ref="R58:R84" si="8">IF(P$12=0,0,P58/P$12)</f>
        <v>0.48700743210165154</v>
      </c>
      <c r="S58" s="5"/>
      <c r="T58" s="5">
        <f>SUM(OSRRefT16x_0)</f>
        <v>759019.56000000017</v>
      </c>
      <c r="U58" s="5"/>
      <c r="V58" s="13">
        <f t="shared" ref="V58:V84" si="9">IF(T$12=0,0,T58/T$12)</f>
        <v>0.56964630739186894</v>
      </c>
      <c r="W58" s="5"/>
      <c r="X58" s="5">
        <f t="shared" ref="X58:X84" si="10">+P58-T58</f>
        <v>663268.41999999981</v>
      </c>
      <c r="Y58" s="5"/>
      <c r="Z58" s="13">
        <f t="shared" ref="Z58:Z84" si="11">IF(T58=0,0,X58/T58)</f>
        <v>0.87384891635730655</v>
      </c>
    </row>
    <row r="59" spans="1:26" s="69" customFormat="1" ht="15" hidden="1" customHeight="1" outlineLevel="1" x14ac:dyDescent="0.3">
      <c r="A59" s="42"/>
      <c r="B59" s="12" t="str">
        <f>CONCATENATE("          ","5000"," - ","PURCHASES @ COST")</f>
        <v xml:space="preserve">          5000 - PURCHASES @ COST</v>
      </c>
      <c r="C59" s="12"/>
      <c r="D59" s="3">
        <v>211305.33</v>
      </c>
      <c r="E59" s="3"/>
      <c r="F59" s="20">
        <f t="shared" si="4"/>
        <v>0.36686262620762983</v>
      </c>
      <c r="G59" s="3"/>
      <c r="H59" s="3"/>
      <c r="I59" s="3"/>
      <c r="J59" s="20">
        <f t="shared" si="5"/>
        <v>0</v>
      </c>
      <c r="K59" s="3"/>
      <c r="L59" s="3">
        <f t="shared" si="6"/>
        <v>211305.33</v>
      </c>
      <c r="M59" s="3"/>
      <c r="N59" s="20">
        <f t="shared" si="7"/>
        <v>0</v>
      </c>
      <c r="O59" s="12"/>
      <c r="P59" s="3">
        <v>1529420.93</v>
      </c>
      <c r="Q59" s="3"/>
      <c r="R59" s="20">
        <f t="shared" si="8"/>
        <v>0.52369096146184102</v>
      </c>
      <c r="S59" s="3"/>
      <c r="T59" s="3"/>
      <c r="U59" s="3"/>
      <c r="V59" s="20">
        <f t="shared" si="9"/>
        <v>0</v>
      </c>
      <c r="W59" s="3"/>
      <c r="X59" s="3">
        <f t="shared" si="10"/>
        <v>1529420.93</v>
      </c>
      <c r="Y59" s="3"/>
      <c r="Z59" s="20">
        <f t="shared" si="11"/>
        <v>0</v>
      </c>
    </row>
    <row r="60" spans="1:26" s="69" customFormat="1" ht="15" hidden="1" customHeight="1" outlineLevel="1" x14ac:dyDescent="0.3">
      <c r="A60" s="42"/>
      <c r="B60" s="12" t="str">
        <f>CONCATENATE("          ","5025"," - ","PURCHASES @ COST-TEST FORMS")</f>
        <v xml:space="preserve">          5025 - PURCHASES @ COST-TEST FORMS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/>
      <c r="Q60" s="3"/>
      <c r="R60" s="20">
        <f t="shared" si="8"/>
        <v>0</v>
      </c>
      <c r="S60" s="3"/>
      <c r="T60" s="3">
        <v>599.29</v>
      </c>
      <c r="U60" s="3"/>
      <c r="V60" s="20">
        <f t="shared" si="9"/>
        <v>4.4976882487306788E-4</v>
      </c>
      <c r="W60" s="3"/>
      <c r="X60" s="3">
        <f t="shared" si="10"/>
        <v>-599.29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","5026"," - ","PURCHASES @ COST-WRITING INSTR")</f>
        <v xml:space="preserve">          5026 - PURCHASES @ COST-WRITING INSTR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>
        <v>0</v>
      </c>
      <c r="Q61" s="3"/>
      <c r="R61" s="20">
        <f t="shared" si="8"/>
        <v>0</v>
      </c>
      <c r="S61" s="3"/>
      <c r="T61" s="3">
        <v>374.91</v>
      </c>
      <c r="U61" s="3"/>
      <c r="V61" s="20">
        <f t="shared" si="9"/>
        <v>2.81371005912266E-4</v>
      </c>
      <c r="W61" s="3"/>
      <c r="X61" s="3">
        <f t="shared" si="10"/>
        <v>-374.91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","5027"," - ","PURCHASES @ COST-SCHOOL SUPPLI")</f>
        <v xml:space="preserve">          5027 - PURCHASES @ COST-SCHOOL SUPPLI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>
        <v>19071.349999999999</v>
      </c>
      <c r="U62" s="3"/>
      <c r="V62" s="20">
        <f t="shared" si="9"/>
        <v>1.4313101634005211E-2</v>
      </c>
      <c r="W62" s="3"/>
      <c r="X62" s="3">
        <f t="shared" si="10"/>
        <v>-19071.349999999999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","5028"," - ","PURCHASES @ COST-ART/TECH")</f>
        <v xml:space="preserve">          5028 - PURCHASES @ COST-ART/TECH</v>
      </c>
      <c r="C63" s="12"/>
      <c r="D63" s="3"/>
      <c r="E63" s="3"/>
      <c r="F63" s="20">
        <f t="shared" si="4"/>
        <v>0</v>
      </c>
      <c r="G63" s="3"/>
      <c r="H63" s="3">
        <v>833.13</v>
      </c>
      <c r="I63" s="3"/>
      <c r="J63" s="20">
        <f t="shared" si="5"/>
        <v>6.9245609096306284E-3</v>
      </c>
      <c r="K63" s="3"/>
      <c r="L63" s="3">
        <f t="shared" si="6"/>
        <v>-833.13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42191.58</v>
      </c>
      <c r="U63" s="3"/>
      <c r="V63" s="20">
        <f t="shared" si="9"/>
        <v>3.1664899057448036E-2</v>
      </c>
      <c r="W63" s="3"/>
      <c r="X63" s="3">
        <f t="shared" si="10"/>
        <v>-42191.58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","5031"," - ","PURCHASES @ COST-FOOD")</f>
        <v xml:space="preserve">          5031 - PURCHASES @ COST-FOOD</v>
      </c>
      <c r="C64" s="12"/>
      <c r="D64" s="3"/>
      <c r="E64" s="3"/>
      <c r="F64" s="20">
        <f t="shared" si="4"/>
        <v>0</v>
      </c>
      <c r="G64" s="3"/>
      <c r="H64" s="3">
        <v>271.45999999999998</v>
      </c>
      <c r="I64" s="3"/>
      <c r="J64" s="20">
        <f t="shared" si="5"/>
        <v>2.2562400880154721E-3</v>
      </c>
      <c r="K64" s="3"/>
      <c r="L64" s="3">
        <f t="shared" si="6"/>
        <v>-271.45999999999998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7785.72</v>
      </c>
      <c r="U64" s="3"/>
      <c r="V64" s="20">
        <f t="shared" si="9"/>
        <v>5.8432046841942007E-3</v>
      </c>
      <c r="W64" s="3"/>
      <c r="X64" s="3">
        <f t="shared" si="10"/>
        <v>-7785.72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","5040"," - ","PURCHASES @ COST-LOGO CLOTHING")</f>
        <v xml:space="preserve">          5040 - PURCHASES @ COST-LOGO CLOTHING</v>
      </c>
      <c r="C65" s="12"/>
      <c r="D65" s="3"/>
      <c r="E65" s="3"/>
      <c r="F65" s="20">
        <f t="shared" si="4"/>
        <v>0</v>
      </c>
      <c r="G65" s="3"/>
      <c r="H65" s="3">
        <v>26599.9</v>
      </c>
      <c r="I65" s="3"/>
      <c r="J65" s="20">
        <f t="shared" si="5"/>
        <v>0.2210850980520252</v>
      </c>
      <c r="K65" s="3"/>
      <c r="L65" s="3">
        <f t="shared" si="6"/>
        <v>-26599.9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193971.09</v>
      </c>
      <c r="U65" s="3"/>
      <c r="V65" s="20">
        <f t="shared" si="9"/>
        <v>0.14557584676642041</v>
      </c>
      <c r="W65" s="3"/>
      <c r="X65" s="3">
        <f t="shared" si="10"/>
        <v>-193971.09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","5041"," - ","PURCHASES @ COST-LOGO GIFTS")</f>
        <v xml:space="preserve">          5041 - PURCHASES @ COST-LOGO GIFTS</v>
      </c>
      <c r="C66" s="12"/>
      <c r="D66" s="3"/>
      <c r="E66" s="3"/>
      <c r="F66" s="20">
        <f t="shared" si="4"/>
        <v>0</v>
      </c>
      <c r="G66" s="3"/>
      <c r="H66" s="3">
        <v>26592.81</v>
      </c>
      <c r="I66" s="3"/>
      <c r="J66" s="20">
        <f t="shared" si="5"/>
        <v>0.22102616950924162</v>
      </c>
      <c r="K66" s="3"/>
      <c r="L66" s="3">
        <f t="shared" si="6"/>
        <v>-26592.81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67563.81</v>
      </c>
      <c r="U66" s="3"/>
      <c r="V66" s="20">
        <f t="shared" si="9"/>
        <v>5.0706828793484343E-2</v>
      </c>
      <c r="W66" s="3"/>
      <c r="X66" s="3">
        <f t="shared" si="10"/>
        <v>-67563.81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","5042"," - ","PURCHASES @ COST-EVERYDAY GIFT")</f>
        <v xml:space="preserve">          5042 - PURCHASES @ COST-EVERYDAY GIFT</v>
      </c>
      <c r="C67" s="12"/>
      <c r="D67" s="3"/>
      <c r="E67" s="3"/>
      <c r="F67" s="20">
        <f t="shared" si="4"/>
        <v>0</v>
      </c>
      <c r="G67" s="3"/>
      <c r="H67" s="3">
        <v>1196.2</v>
      </c>
      <c r="I67" s="3"/>
      <c r="J67" s="20">
        <f t="shared" si="5"/>
        <v>9.9422176132178148E-3</v>
      </c>
      <c r="K67" s="3"/>
      <c r="L67" s="3">
        <f t="shared" si="6"/>
        <v>-1196.2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19018.18</v>
      </c>
      <c r="U67" s="3"/>
      <c r="V67" s="20">
        <f t="shared" si="9"/>
        <v>1.4273197399964094E-2</v>
      </c>
      <c r="W67" s="3"/>
      <c r="X67" s="3">
        <f t="shared" si="10"/>
        <v>-19018.18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","5043"," - ","PURCHASES @ COST-CARDS")</f>
        <v xml:space="preserve">          5043 - PURCHASES @ COST-CARDS</v>
      </c>
      <c r="C68" s="12"/>
      <c r="D68" s="3"/>
      <c r="E68" s="3"/>
      <c r="F68" s="20">
        <f t="shared" si="4"/>
        <v>0</v>
      </c>
      <c r="G68" s="3"/>
      <c r="H68" s="3"/>
      <c r="I68" s="3"/>
      <c r="J68" s="20">
        <f t="shared" si="5"/>
        <v>0</v>
      </c>
      <c r="K68" s="3"/>
      <c r="L68" s="3">
        <f t="shared" si="6"/>
        <v>0</v>
      </c>
      <c r="M68" s="3"/>
      <c r="N68" s="20">
        <f t="shared" si="7"/>
        <v>0</v>
      </c>
      <c r="O68" s="12"/>
      <c r="P68" s="3">
        <v>0</v>
      </c>
      <c r="Q68" s="3"/>
      <c r="R68" s="20">
        <f t="shared" si="8"/>
        <v>0</v>
      </c>
      <c r="S68" s="3"/>
      <c r="T68" s="3">
        <v>55364.33</v>
      </c>
      <c r="U68" s="3"/>
      <c r="V68" s="20">
        <f t="shared" si="9"/>
        <v>4.1551084857055415E-2</v>
      </c>
      <c r="W68" s="3"/>
      <c r="X68" s="3">
        <f t="shared" si="10"/>
        <v>-55364.33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","5044"," - ","PURCHASES @ COST-ACCESSORIES")</f>
        <v xml:space="preserve">          5044 - PURCHASES @ COST-ACCESSORIES</v>
      </c>
      <c r="C69" s="12"/>
      <c r="D69" s="3"/>
      <c r="E69" s="3"/>
      <c r="F69" s="20">
        <f t="shared" si="4"/>
        <v>0</v>
      </c>
      <c r="G69" s="3"/>
      <c r="H69" s="3"/>
      <c r="I69" s="3"/>
      <c r="J69" s="20">
        <f t="shared" si="5"/>
        <v>0</v>
      </c>
      <c r="K69" s="3"/>
      <c r="L69" s="3">
        <f t="shared" si="6"/>
        <v>0</v>
      </c>
      <c r="M69" s="3"/>
      <c r="N69" s="20">
        <f t="shared" si="7"/>
        <v>0</v>
      </c>
      <c r="O69" s="12"/>
      <c r="P69" s="3">
        <v>0</v>
      </c>
      <c r="Q69" s="3"/>
      <c r="R69" s="20">
        <f t="shared" si="8"/>
        <v>0</v>
      </c>
      <c r="S69" s="3"/>
      <c r="T69" s="3">
        <v>1064.83</v>
      </c>
      <c r="U69" s="3"/>
      <c r="V69" s="20">
        <f t="shared" si="9"/>
        <v>7.9915789983078117E-4</v>
      </c>
      <c r="W69" s="3"/>
      <c r="X69" s="3">
        <f t="shared" si="10"/>
        <v>-1064.83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","5045"," - ","PURCHASES @ COST-SPECIAL ORDER")</f>
        <v xml:space="preserve">          5045 - PURCHASES @ COST-SPECIAL ORDER</v>
      </c>
      <c r="C70" s="12"/>
      <c r="D70" s="3"/>
      <c r="E70" s="3"/>
      <c r="F70" s="20">
        <f t="shared" si="4"/>
        <v>0</v>
      </c>
      <c r="G70" s="3"/>
      <c r="H70" s="3">
        <v>1909.13</v>
      </c>
      <c r="I70" s="3"/>
      <c r="J70" s="20">
        <f t="shared" si="5"/>
        <v>1.5867736090889924E-2</v>
      </c>
      <c r="K70" s="3"/>
      <c r="L70" s="3">
        <f t="shared" si="6"/>
        <v>-1909.13</v>
      </c>
      <c r="M70" s="3"/>
      <c r="N70" s="20">
        <f t="shared" si="7"/>
        <v>-1</v>
      </c>
      <c r="O70" s="12"/>
      <c r="P70" s="3">
        <v>0</v>
      </c>
      <c r="Q70" s="3"/>
      <c r="R70" s="20">
        <f t="shared" si="8"/>
        <v>0</v>
      </c>
      <c r="S70" s="3"/>
      <c r="T70" s="3">
        <v>95373.51</v>
      </c>
      <c r="U70" s="3"/>
      <c r="V70" s="20">
        <f t="shared" si="9"/>
        <v>7.1578086597006096E-2</v>
      </c>
      <c r="W70" s="3"/>
      <c r="X70" s="3">
        <f t="shared" si="10"/>
        <v>-95373.51</v>
      </c>
      <c r="Y70" s="3"/>
      <c r="Z70" s="20">
        <f t="shared" si="11"/>
        <v>-1</v>
      </c>
    </row>
    <row r="71" spans="1:26" s="69" customFormat="1" ht="15" hidden="1" customHeight="1" outlineLevel="1" x14ac:dyDescent="0.3">
      <c r="A71" s="42"/>
      <c r="B71" s="12" t="str">
        <f>CONCATENATE("          ","5086"," - ","PURCHASES @ COST-COMPUTER SUPP")</f>
        <v xml:space="preserve">          5086 - PURCHASES @ COST-COMPUTER SUPP</v>
      </c>
      <c r="C71" s="12"/>
      <c r="D71" s="3"/>
      <c r="E71" s="3"/>
      <c r="F71" s="20">
        <f t="shared" si="4"/>
        <v>0</v>
      </c>
      <c r="G71" s="3"/>
      <c r="H71" s="3">
        <v>13.21</v>
      </c>
      <c r="I71" s="3"/>
      <c r="J71" s="20">
        <f t="shared" si="5"/>
        <v>1.0979492950226328E-4</v>
      </c>
      <c r="K71" s="3"/>
      <c r="L71" s="3">
        <f t="shared" si="6"/>
        <v>-13.21</v>
      </c>
      <c r="M71" s="3"/>
      <c r="N71" s="20">
        <f t="shared" si="7"/>
        <v>-1</v>
      </c>
      <c r="O71" s="12"/>
      <c r="P71" s="3"/>
      <c r="Q71" s="3"/>
      <c r="R71" s="20">
        <f t="shared" si="8"/>
        <v>0</v>
      </c>
      <c r="S71" s="3"/>
      <c r="T71" s="3">
        <v>13.21</v>
      </c>
      <c r="U71" s="3"/>
      <c r="V71" s="20">
        <f t="shared" si="9"/>
        <v>9.9141420290230558E-6</v>
      </c>
      <c r="W71" s="3"/>
      <c r="X71" s="3">
        <f t="shared" si="10"/>
        <v>-13.21</v>
      </c>
      <c r="Y71" s="3"/>
      <c r="Z71" s="20">
        <f t="shared" si="11"/>
        <v>-1</v>
      </c>
    </row>
    <row r="72" spans="1:26" s="69" customFormat="1" ht="15" hidden="1" customHeight="1" outlineLevel="1" x14ac:dyDescent="0.3">
      <c r="A72" s="42"/>
      <c r="B72" s="12" t="str">
        <f>CONCATENATE("          ","5200"," - ","PURCHASES OFFSET")</f>
        <v xml:space="preserve">          5200 - PURCHASES OFFSET</v>
      </c>
      <c r="C72" s="12"/>
      <c r="D72" s="3">
        <v>-221122.89</v>
      </c>
      <c r="E72" s="3"/>
      <c r="F72" s="20">
        <f t="shared" si="4"/>
        <v>-0.38390760961884335</v>
      </c>
      <c r="G72" s="3"/>
      <c r="H72" s="3">
        <v>-58076.24</v>
      </c>
      <c r="I72" s="3"/>
      <c r="J72" s="20">
        <f t="shared" si="5"/>
        <v>-0.48270073251752627</v>
      </c>
      <c r="K72" s="3"/>
      <c r="L72" s="3">
        <f t="shared" si="6"/>
        <v>-163046.65000000002</v>
      </c>
      <c r="M72" s="3"/>
      <c r="N72" s="20">
        <f t="shared" si="7"/>
        <v>2.8074587817668641</v>
      </c>
      <c r="O72" s="12"/>
      <c r="P72" s="3">
        <v>-1582747.44</v>
      </c>
      <c r="Q72" s="3"/>
      <c r="R72" s="20">
        <f t="shared" si="8"/>
        <v>-0.5419505594217725</v>
      </c>
      <c r="S72" s="3"/>
      <c r="T72" s="3">
        <v>-521216.54</v>
      </c>
      <c r="U72" s="3"/>
      <c r="V72" s="20">
        <f t="shared" si="9"/>
        <v>-0.3911744742949263</v>
      </c>
      <c r="W72" s="3"/>
      <c r="X72" s="3">
        <f t="shared" si="10"/>
        <v>-1061530.8999999999</v>
      </c>
      <c r="Y72" s="3"/>
      <c r="Z72" s="20">
        <f t="shared" si="11"/>
        <v>2.0366408556413038</v>
      </c>
    </row>
    <row r="73" spans="1:26" s="69" customFormat="1" ht="15" hidden="1" customHeight="1" outlineLevel="1" x14ac:dyDescent="0.3">
      <c r="A73" s="42"/>
      <c r="B73" s="12" t="str">
        <f>CONCATENATE("          ","5300"," - ","COG$ OFFSET")</f>
        <v xml:space="preserve">          5300 - COG$ OFFSET</v>
      </c>
      <c r="C73" s="12"/>
      <c r="D73" s="3">
        <v>265161.48</v>
      </c>
      <c r="E73" s="3"/>
      <c r="F73" s="20">
        <f t="shared" si="4"/>
        <v>0.46036622418327977</v>
      </c>
      <c r="G73" s="3"/>
      <c r="H73" s="3">
        <v>62366</v>
      </c>
      <c r="I73" s="3"/>
      <c r="J73" s="20">
        <f t="shared" si="5"/>
        <v>0.51835507746693044</v>
      </c>
      <c r="K73" s="3"/>
      <c r="L73" s="3">
        <f t="shared" si="6"/>
        <v>202795.47999999998</v>
      </c>
      <c r="M73" s="3"/>
      <c r="N73" s="20">
        <f t="shared" si="7"/>
        <v>3.2516993233492606</v>
      </c>
      <c r="O73" s="12"/>
      <c r="P73" s="3">
        <v>1422287.98</v>
      </c>
      <c r="Q73" s="3"/>
      <c r="R73" s="20">
        <f t="shared" si="8"/>
        <v>0.48700743210165154</v>
      </c>
      <c r="S73" s="3"/>
      <c r="T73" s="3">
        <v>758505</v>
      </c>
      <c r="U73" s="3"/>
      <c r="V73" s="20">
        <f t="shared" si="9"/>
        <v>0.56926012866950282</v>
      </c>
      <c r="W73" s="3"/>
      <c r="X73" s="3">
        <f t="shared" si="10"/>
        <v>663782.98</v>
      </c>
      <c r="Y73" s="3"/>
      <c r="Z73" s="20">
        <f t="shared" si="11"/>
        <v>0.87512011127151434</v>
      </c>
    </row>
    <row r="74" spans="1:26" s="69" customFormat="1" ht="15" hidden="1" customHeight="1" outlineLevel="1" x14ac:dyDescent="0.3">
      <c r="A74" s="42"/>
      <c r="B74" s="12" t="str">
        <f>CONCATENATE("          ","5500"," - ","FREIGHT-IN")</f>
        <v xml:space="preserve">          5500 - FREIGHT-IN</v>
      </c>
      <c r="C74" s="12"/>
      <c r="D74" s="3">
        <v>9817.56</v>
      </c>
      <c r="E74" s="3"/>
      <c r="F74" s="20">
        <f t="shared" si="4"/>
        <v>1.7044983411213424E-2</v>
      </c>
      <c r="G74" s="3"/>
      <c r="H74" s="3"/>
      <c r="I74" s="3"/>
      <c r="J74" s="20">
        <f t="shared" si="5"/>
        <v>0</v>
      </c>
      <c r="K74" s="3"/>
      <c r="L74" s="3">
        <f t="shared" si="6"/>
        <v>9817.56</v>
      </c>
      <c r="M74" s="3"/>
      <c r="N74" s="20">
        <f t="shared" si="7"/>
        <v>0</v>
      </c>
      <c r="O74" s="12"/>
      <c r="P74" s="3">
        <v>53326.51</v>
      </c>
      <c r="Q74" s="3"/>
      <c r="R74" s="20">
        <f t="shared" si="8"/>
        <v>1.8259597959931463E-2</v>
      </c>
      <c r="S74" s="3"/>
      <c r="T74" s="3"/>
      <c r="U74" s="3"/>
      <c r="V74" s="20">
        <f t="shared" si="9"/>
        <v>0</v>
      </c>
      <c r="W74" s="3"/>
      <c r="X74" s="3">
        <f t="shared" si="10"/>
        <v>53326.51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","5525"," - ","FREIGHT-IN-TEST FORMS")</f>
        <v xml:space="preserve">          5525 - FREIGHT-IN-TEST FORMS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/>
      <c r="Q75" s="3"/>
      <c r="R75" s="20">
        <f t="shared" si="8"/>
        <v>0</v>
      </c>
      <c r="S75" s="3"/>
      <c r="T75" s="3">
        <v>48.14</v>
      </c>
      <c r="U75" s="3"/>
      <c r="V75" s="20">
        <f t="shared" si="9"/>
        <v>3.6129204941496586E-5</v>
      </c>
      <c r="W75" s="3"/>
      <c r="X75" s="3">
        <f t="shared" si="10"/>
        <v>-48.14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","5526"," - ","FREIGHT-IN-WRITING INSTRUMENTS")</f>
        <v xml:space="preserve">          5526 - FREIGHT-IN-WRITING INSTRUMENTS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0</v>
      </c>
      <c r="U76" s="3"/>
      <c r="V76" s="20">
        <f t="shared" si="9"/>
        <v>0</v>
      </c>
      <c r="W76" s="3"/>
      <c r="X76" s="3">
        <f t="shared" si="10"/>
        <v>0</v>
      </c>
      <c r="Y76" s="3"/>
      <c r="Z76" s="20">
        <f t="shared" si="11"/>
        <v>0</v>
      </c>
    </row>
    <row r="77" spans="1:26" s="69" customFormat="1" ht="15" hidden="1" customHeight="1" outlineLevel="1" x14ac:dyDescent="0.3">
      <c r="A77" s="42"/>
      <c r="B77" s="12" t="str">
        <f>CONCATENATE("          ","5527"," - ","FREIGHT-IN-SCHOOL SUPPLIES")</f>
        <v xml:space="preserve">          5527 - FREIGHT-IN-SCHOOL SUPPLIES</v>
      </c>
      <c r="C77" s="12"/>
      <c r="D77" s="3"/>
      <c r="E77" s="3"/>
      <c r="F77" s="20">
        <f t="shared" si="4"/>
        <v>0</v>
      </c>
      <c r="G77" s="3"/>
      <c r="H77" s="3"/>
      <c r="I77" s="3"/>
      <c r="J77" s="20">
        <f t="shared" si="5"/>
        <v>0</v>
      </c>
      <c r="K77" s="3"/>
      <c r="L77" s="3">
        <f t="shared" si="6"/>
        <v>0</v>
      </c>
      <c r="M77" s="3"/>
      <c r="N77" s="20">
        <f t="shared" si="7"/>
        <v>0</v>
      </c>
      <c r="O77" s="12"/>
      <c r="P77" s="3">
        <v>0</v>
      </c>
      <c r="Q77" s="3"/>
      <c r="R77" s="20">
        <f t="shared" si="8"/>
        <v>0</v>
      </c>
      <c r="S77" s="3"/>
      <c r="T77" s="3">
        <v>177.5</v>
      </c>
      <c r="U77" s="3"/>
      <c r="V77" s="20">
        <f t="shared" si="9"/>
        <v>1.332142475512182E-4</v>
      </c>
      <c r="W77" s="3"/>
      <c r="X77" s="3">
        <f t="shared" si="10"/>
        <v>-177.5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","5528"," - ","FREIGHT-IN-ART/TECH")</f>
        <v xml:space="preserve">          5528 - FREIGHT-IN-ART/TECH</v>
      </c>
      <c r="C78" s="12"/>
      <c r="D78" s="3"/>
      <c r="E78" s="3"/>
      <c r="F78" s="20">
        <f t="shared" si="4"/>
        <v>0</v>
      </c>
      <c r="G78" s="3"/>
      <c r="H78" s="3">
        <v>12.76</v>
      </c>
      <c r="I78" s="3"/>
      <c r="J78" s="20">
        <f t="shared" si="5"/>
        <v>1.0605475400824219E-4</v>
      </c>
      <c r="K78" s="3"/>
      <c r="L78" s="3">
        <f t="shared" si="6"/>
        <v>-12.76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351.5</v>
      </c>
      <c r="U78" s="3"/>
      <c r="V78" s="20">
        <f t="shared" si="9"/>
        <v>2.638017352915673E-4</v>
      </c>
      <c r="W78" s="3"/>
      <c r="X78" s="3">
        <f t="shared" si="10"/>
        <v>-351.5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","5540"," - ","FREIGHT-IN-LOGO CLOTHING")</f>
        <v xml:space="preserve">          5540 - FREIGHT-IN-LOGO CLOTHING</v>
      </c>
      <c r="C79" s="12"/>
      <c r="D79" s="3"/>
      <c r="E79" s="3"/>
      <c r="F79" s="20">
        <f t="shared" si="4"/>
        <v>0</v>
      </c>
      <c r="G79" s="3"/>
      <c r="H79" s="3">
        <v>150.6</v>
      </c>
      <c r="I79" s="3"/>
      <c r="J79" s="20">
        <f t="shared" si="5"/>
        <v>1.2517120653323882E-3</v>
      </c>
      <c r="K79" s="3"/>
      <c r="L79" s="3">
        <f t="shared" si="6"/>
        <v>-150.6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5941.23</v>
      </c>
      <c r="U79" s="3"/>
      <c r="V79" s="20">
        <f t="shared" si="9"/>
        <v>4.4589097688942196E-3</v>
      </c>
      <c r="W79" s="3"/>
      <c r="X79" s="3">
        <f t="shared" si="10"/>
        <v>-5941.23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","5541"," - ","FREIGHT-IN-LOGO GIFTS")</f>
        <v xml:space="preserve">          5541 - FREIGHT-IN-LOGO GIFTS</v>
      </c>
      <c r="C80" s="12"/>
      <c r="D80" s="3"/>
      <c r="E80" s="3"/>
      <c r="F80" s="20">
        <f t="shared" si="4"/>
        <v>0</v>
      </c>
      <c r="G80" s="3"/>
      <c r="H80" s="3">
        <v>375.06</v>
      </c>
      <c r="I80" s="3"/>
      <c r="J80" s="20">
        <f t="shared" si="5"/>
        <v>3.1173116017501031E-3</v>
      </c>
      <c r="K80" s="3"/>
      <c r="L80" s="3">
        <f t="shared" si="6"/>
        <v>-375.06</v>
      </c>
      <c r="M80" s="3"/>
      <c r="N80" s="20">
        <f t="shared" si="7"/>
        <v>-1</v>
      </c>
      <c r="O80" s="12"/>
      <c r="P80" s="3">
        <v>0</v>
      </c>
      <c r="Q80" s="3"/>
      <c r="R80" s="20">
        <f t="shared" si="8"/>
        <v>0</v>
      </c>
      <c r="S80" s="3"/>
      <c r="T80" s="3">
        <v>2077.9299999999998</v>
      </c>
      <c r="U80" s="3"/>
      <c r="V80" s="20">
        <f t="shared" si="9"/>
        <v>1.5594922896569172E-3</v>
      </c>
      <c r="W80" s="3"/>
      <c r="X80" s="3">
        <f t="shared" si="10"/>
        <v>-2077.9299999999998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","5542"," - ","FREIGHT-IN-EVERYDAY GIFTS")</f>
        <v xml:space="preserve">          5542 - FREIGHT-IN-EVERYDAY GIFTS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>
        <v>383.93</v>
      </c>
      <c r="U81" s="3"/>
      <c r="V81" s="20">
        <f t="shared" si="9"/>
        <v>2.8814054119627718E-4</v>
      </c>
      <c r="W81" s="3"/>
      <c r="X81" s="3">
        <f t="shared" si="10"/>
        <v>-383.93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","5543"," - ","FREIGHT-IN-CARDS")</f>
        <v xml:space="preserve">          5543 - FREIGHT-IN-CARDS</v>
      </c>
      <c r="C82" s="12"/>
      <c r="D82" s="3"/>
      <c r="E82" s="3"/>
      <c r="F82" s="20">
        <f t="shared" si="4"/>
        <v>0</v>
      </c>
      <c r="G82" s="3"/>
      <c r="H82" s="3"/>
      <c r="I82" s="3"/>
      <c r="J82" s="20">
        <f t="shared" si="5"/>
        <v>0</v>
      </c>
      <c r="K82" s="3"/>
      <c r="L82" s="3">
        <f t="shared" si="6"/>
        <v>0</v>
      </c>
      <c r="M82" s="3"/>
      <c r="N82" s="20">
        <f t="shared" si="7"/>
        <v>0</v>
      </c>
      <c r="O82" s="12"/>
      <c r="P82" s="3"/>
      <c r="Q82" s="3"/>
      <c r="R82" s="20">
        <f t="shared" si="8"/>
        <v>0</v>
      </c>
      <c r="S82" s="3"/>
      <c r="T82" s="3">
        <v>9110.5300000000007</v>
      </c>
      <c r="U82" s="3"/>
      <c r="V82" s="20">
        <f t="shared" si="9"/>
        <v>6.837478302776338E-3</v>
      </c>
      <c r="W82" s="3"/>
      <c r="X82" s="3">
        <f t="shared" si="10"/>
        <v>-9110.5300000000007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","5544"," - ","FREIGHT-IN-ACCESSORIES")</f>
        <v xml:space="preserve">          5544 - FREIGHT-IN-ACCESSORIES</v>
      </c>
      <c r="C83" s="12"/>
      <c r="D83" s="3"/>
      <c r="E83" s="3"/>
      <c r="F83" s="20">
        <f t="shared" si="4"/>
        <v>0</v>
      </c>
      <c r="G83" s="3"/>
      <c r="H83" s="3"/>
      <c r="I83" s="3"/>
      <c r="J83" s="20">
        <f t="shared" si="5"/>
        <v>0</v>
      </c>
      <c r="K83" s="3"/>
      <c r="L83" s="3">
        <f t="shared" si="6"/>
        <v>0</v>
      </c>
      <c r="M83" s="3"/>
      <c r="N83" s="20">
        <f t="shared" si="7"/>
        <v>0</v>
      </c>
      <c r="O83" s="12"/>
      <c r="P83" s="3">
        <v>0</v>
      </c>
      <c r="Q83" s="3"/>
      <c r="R83" s="20">
        <f t="shared" si="8"/>
        <v>0</v>
      </c>
      <c r="S83" s="3"/>
      <c r="T83" s="3"/>
      <c r="U83" s="3"/>
      <c r="V83" s="20">
        <f t="shared" si="9"/>
        <v>0</v>
      </c>
      <c r="W83" s="3"/>
      <c r="X83" s="3">
        <f t="shared" si="10"/>
        <v>0</v>
      </c>
      <c r="Y83" s="3"/>
      <c r="Z83" s="20">
        <f t="shared" si="11"/>
        <v>0</v>
      </c>
    </row>
    <row r="84" spans="1:26" s="69" customFormat="1" ht="15" hidden="1" customHeight="1" outlineLevel="1" x14ac:dyDescent="0.3">
      <c r="A84" s="42"/>
      <c r="B84" s="12" t="str">
        <f>CONCATENATE("          ","5545"," - ","FREIGHT-IN-SPECIAL ORDERS")</f>
        <v xml:space="preserve">          5545 - FREIGHT-IN-SPECIAL ORDERS</v>
      </c>
      <c r="C84" s="12"/>
      <c r="D84" s="3"/>
      <c r="E84" s="3"/>
      <c r="F84" s="20">
        <f t="shared" si="4"/>
        <v>0</v>
      </c>
      <c r="G84" s="3"/>
      <c r="H84" s="3">
        <v>134.74</v>
      </c>
      <c r="I84" s="3"/>
      <c r="J84" s="20">
        <f t="shared" si="5"/>
        <v>1.1198916579208899E-3</v>
      </c>
      <c r="K84" s="3"/>
      <c r="L84" s="3">
        <f t="shared" si="6"/>
        <v>-134.74</v>
      </c>
      <c r="M84" s="3"/>
      <c r="N84" s="20">
        <f t="shared" si="7"/>
        <v>-1</v>
      </c>
      <c r="O84" s="12"/>
      <c r="P84" s="3">
        <v>0</v>
      </c>
      <c r="Q84" s="3"/>
      <c r="R84" s="20">
        <f t="shared" si="8"/>
        <v>0</v>
      </c>
      <c r="S84" s="3"/>
      <c r="T84" s="3">
        <v>1248.53</v>
      </c>
      <c r="U84" s="3"/>
      <c r="V84" s="20">
        <f t="shared" si="9"/>
        <v>9.3702526476125325E-4</v>
      </c>
      <c r="W84" s="3"/>
      <c r="X84" s="3">
        <f t="shared" si="10"/>
        <v>-1248.53</v>
      </c>
      <c r="Y84" s="3"/>
      <c r="Z84" s="20">
        <f t="shared" si="11"/>
        <v>-1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288</v>
      </c>
      <c r="C86" s="28"/>
      <c r="D86" s="23">
        <f>D12-D58</f>
        <v>310817.96000000008</v>
      </c>
      <c r="E86" s="15"/>
      <c r="F86" s="22">
        <f>IF(D$12=0,0,D86/D$12)</f>
        <v>0.53963377581672023</v>
      </c>
      <c r="G86" s="15"/>
      <c r="H86" s="23">
        <f>H12-H58</f>
        <v>57936.45</v>
      </c>
      <c r="I86" s="15"/>
      <c r="J86" s="22">
        <f>IF(H$12=0,0,H86/H$12)</f>
        <v>0.48153886777906135</v>
      </c>
      <c r="K86" s="17"/>
      <c r="L86" s="23">
        <f>+D86-H86</f>
        <v>252881.51000000007</v>
      </c>
      <c r="M86" s="17"/>
      <c r="N86" s="22">
        <f>IF(H86=0,0,L86/H86)</f>
        <v>4.3648085100139911</v>
      </c>
      <c r="O86" s="27"/>
      <c r="P86" s="23">
        <f>P12-P58</f>
        <v>1498176.6500000004</v>
      </c>
      <c r="Q86" s="15"/>
      <c r="R86" s="22">
        <f>IF(P$12=0,0,P86/P$12)</f>
        <v>0.51299256789834846</v>
      </c>
      <c r="S86" s="15"/>
      <c r="T86" s="23">
        <f>T12-T58</f>
        <v>573420.49999999965</v>
      </c>
      <c r="U86" s="15"/>
      <c r="V86" s="22">
        <f>IF(T$12=0,0,T86/T$12)</f>
        <v>0.43035369260813106</v>
      </c>
      <c r="W86" s="17"/>
      <c r="X86" s="23">
        <f>+P86-T86</f>
        <v>924756.15000000072</v>
      </c>
      <c r="Y86" s="17"/>
      <c r="Z86" s="22">
        <f>IF(T86=0,0,X86/T86)</f>
        <v>1.6127015863576577</v>
      </c>
    </row>
    <row r="87" spans="1:26" ht="15" customHeight="1" x14ac:dyDescent="0.3">
      <c r="A87" s="10"/>
      <c r="B87" s="11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7" t="s">
        <v>289</v>
      </c>
      <c r="C88" s="11"/>
      <c r="D88" s="21" cm="1">
        <f t="array" ref="D88">SUM(OSRRefD22x_0)</f>
        <v>117333.76000000001</v>
      </c>
      <c r="E88" s="21"/>
      <c r="F88" s="30">
        <f t="shared" ref="F88:F119" si="12">IF(D$12=0,0,D88/D$12)</f>
        <v>0.2037117158209675</v>
      </c>
      <c r="G88" s="21"/>
      <c r="H88" s="21" cm="1">
        <f t="array" ref="H88">SUM(OSRRefH22x_0)</f>
        <v>59318.639999999992</v>
      </c>
      <c r="I88" s="21"/>
      <c r="J88" s="30">
        <f t="shared" ref="J88:J119" si="13">IF(H$12=0,0,H88/H$12)</f>
        <v>0.49302694148146353</v>
      </c>
      <c r="K88" s="5"/>
      <c r="L88" s="21">
        <f t="shared" ref="L88:L119" si="14">+D88-H88</f>
        <v>58015.120000000017</v>
      </c>
      <c r="M88" s="5"/>
      <c r="N88" s="30">
        <f t="shared" ref="N88:N119" si="15">IF(H88=0,0,L88/H88)</f>
        <v>0.97802511992857599</v>
      </c>
      <c r="O88" s="11"/>
      <c r="P88" s="21" cm="1">
        <f t="array" ref="P88">SUM(OSRRefP22x_0)</f>
        <v>835327.45000000007</v>
      </c>
      <c r="Q88" s="21"/>
      <c r="R88" s="30">
        <f t="shared" ref="R88:R119" si="16">IF(P$12=0,0,P88/P$12)</f>
        <v>0.28602553217704951</v>
      </c>
      <c r="S88" s="21"/>
      <c r="T88" s="21" cm="1">
        <f t="array" ref="T88">SUM(OSRRefT22x_0)</f>
        <v>556443.86</v>
      </c>
      <c r="U88" s="21"/>
      <c r="V88" s="30">
        <f t="shared" ref="V88:V119" si="17">IF(T$12=0,0,T88/T$12)</f>
        <v>0.41761267670081914</v>
      </c>
      <c r="W88" s="5"/>
      <c r="X88" s="21">
        <f t="shared" ref="X88:X119" si="18">+P88-T88</f>
        <v>278883.59000000008</v>
      </c>
      <c r="Y88" s="5"/>
      <c r="Z88" s="30">
        <f t="shared" ref="Z88:Z119" si="19">IF(T88=0,0,X88/T88)</f>
        <v>0.50118908671217988</v>
      </c>
    </row>
    <row r="89" spans="1:26" s="68" customFormat="1" ht="15" customHeight="1" outlineLevel="1" collapsed="1" x14ac:dyDescent="0.3">
      <c r="A89" s="25"/>
      <c r="B89" s="14" t="str">
        <f>CONCATENATE("     ","*Benefits                                         ")</f>
        <v xml:space="preserve">     *Benefits                                         </v>
      </c>
      <c r="C89" s="14"/>
      <c r="D89" s="2">
        <f>SUM(OSRRefD22_0x_0)</f>
        <v>15142.26</v>
      </c>
      <c r="E89" s="2"/>
      <c r="F89" s="6">
        <f t="shared" si="12"/>
        <v>2.6289584225436934E-2</v>
      </c>
      <c r="G89" s="2"/>
      <c r="H89" s="2">
        <f>SUM(OSRRefH22_0x_0)</f>
        <v>13085.359999999999</v>
      </c>
      <c r="I89" s="2"/>
      <c r="J89" s="6">
        <f t="shared" si="13"/>
        <v>0.1087589840054304</v>
      </c>
      <c r="K89" s="2"/>
      <c r="L89" s="2">
        <f t="shared" si="14"/>
        <v>2056.9000000000015</v>
      </c>
      <c r="M89" s="2"/>
      <c r="N89" s="6">
        <f t="shared" si="15"/>
        <v>0.15719093704720402</v>
      </c>
      <c r="O89" s="14"/>
      <c r="P89" s="2">
        <f>SUM(OSRRefP22_0x_0)</f>
        <v>120579.09</v>
      </c>
      <c r="Q89" s="2"/>
      <c r="R89" s="6">
        <f t="shared" si="16"/>
        <v>4.128763922061264E-2</v>
      </c>
      <c r="S89" s="2"/>
      <c r="T89" s="2">
        <f>SUM(OSRRefT22_0x_0)</f>
        <v>121246.44000000002</v>
      </c>
      <c r="U89" s="2"/>
      <c r="V89" s="6">
        <f t="shared" si="17"/>
        <v>9.0995793086557336E-2</v>
      </c>
      <c r="W89" s="2"/>
      <c r="X89" s="2">
        <f t="shared" si="18"/>
        <v>-667.35000000002037</v>
      </c>
      <c r="Y89" s="2"/>
      <c r="Z89" s="6">
        <f t="shared" si="19"/>
        <v>-5.5040791300760691E-3</v>
      </c>
    </row>
    <row r="90" spans="1:26" s="69" customFormat="1" ht="15" hidden="1" customHeight="1" outlineLevel="2" x14ac:dyDescent="0.3">
      <c r="A90" s="26"/>
      <c r="B90" s="12" t="str">
        <f>CONCATENATE("          ","6111"," - ","F.I.C.A.")</f>
        <v xml:space="preserve">          6111 - F.I.C.A.</v>
      </c>
      <c r="C90" s="12"/>
      <c r="D90" s="8">
        <v>2301.62</v>
      </c>
      <c r="E90" s="3"/>
      <c r="F90" s="7">
        <f t="shared" si="12"/>
        <v>3.996010690937162E-3</v>
      </c>
      <c r="G90" s="3"/>
      <c r="H90" s="8">
        <v>2409.65</v>
      </c>
      <c r="I90" s="3"/>
      <c r="J90" s="7">
        <f t="shared" si="13"/>
        <v>2.0027808620373105E-2</v>
      </c>
      <c r="K90" s="3"/>
      <c r="L90" s="8">
        <f t="shared" si="14"/>
        <v>-108.0300000000002</v>
      </c>
      <c r="M90" s="3"/>
      <c r="N90" s="7">
        <f t="shared" si="15"/>
        <v>-4.4832237046874106E-2</v>
      </c>
      <c r="O90" s="12"/>
      <c r="P90" s="8">
        <v>21979.57</v>
      </c>
      <c r="Q90" s="3"/>
      <c r="R90" s="7">
        <f t="shared" si="16"/>
        <v>7.5260524555642357E-3</v>
      </c>
      <c r="S90" s="3"/>
      <c r="T90" s="8">
        <v>24190.22</v>
      </c>
      <c r="U90" s="3"/>
      <c r="V90" s="7">
        <f t="shared" si="17"/>
        <v>1.8154827917737631E-2</v>
      </c>
      <c r="W90" s="3"/>
      <c r="X90" s="8">
        <f t="shared" si="18"/>
        <v>-2210.6500000000015</v>
      </c>
      <c r="Y90" s="3"/>
      <c r="Z90" s="7">
        <f t="shared" si="19"/>
        <v>-9.1386105624504499E-2</v>
      </c>
    </row>
    <row r="91" spans="1:26" s="69" customFormat="1" ht="15" hidden="1" customHeight="1" outlineLevel="2" x14ac:dyDescent="0.3">
      <c r="A91" s="26"/>
      <c r="B91" s="12" t="str">
        <f>CONCATENATE("          ","6112"," - ","COMPENSATION INSURANCE")</f>
        <v xml:space="preserve">          6112 - COMPENSATION INSURANCE</v>
      </c>
      <c r="C91" s="12"/>
      <c r="D91" s="8">
        <v>1247.52</v>
      </c>
      <c r="E91" s="3"/>
      <c r="F91" s="7">
        <f t="shared" si="12"/>
        <v>2.1659106443104982E-3</v>
      </c>
      <c r="G91" s="3"/>
      <c r="H91" s="8">
        <v>745.07</v>
      </c>
      <c r="I91" s="3"/>
      <c r="J91" s="7">
        <f t="shared" si="13"/>
        <v>6.1926501229561922E-3</v>
      </c>
      <c r="K91" s="3"/>
      <c r="L91" s="8">
        <f t="shared" si="14"/>
        <v>502.44999999999993</v>
      </c>
      <c r="M91" s="3"/>
      <c r="N91" s="7">
        <f t="shared" si="15"/>
        <v>0.67436616693733464</v>
      </c>
      <c r="O91" s="12"/>
      <c r="P91" s="8">
        <v>7902.29</v>
      </c>
      <c r="Q91" s="3"/>
      <c r="R91" s="7">
        <f t="shared" si="16"/>
        <v>2.7058331468304752E-3</v>
      </c>
      <c r="S91" s="3"/>
      <c r="T91" s="8">
        <v>8740.69</v>
      </c>
      <c r="U91" s="3"/>
      <c r="V91" s="7">
        <f t="shared" si="17"/>
        <v>6.5599123460758166E-3</v>
      </c>
      <c r="W91" s="3"/>
      <c r="X91" s="8">
        <f t="shared" si="18"/>
        <v>-838.40000000000055</v>
      </c>
      <c r="Y91" s="3"/>
      <c r="Z91" s="7">
        <f t="shared" si="19"/>
        <v>-9.591920088688656E-2</v>
      </c>
    </row>
    <row r="92" spans="1:26" s="69" customFormat="1" ht="15" hidden="1" customHeight="1" outlineLevel="2" x14ac:dyDescent="0.3">
      <c r="A92" s="26"/>
      <c r="B92" s="12" t="str">
        <f>CONCATENATE("          ","6113"," - ","GROUP INSURANCE")</f>
        <v xml:space="preserve">          6113 - GROUP INSURANCE</v>
      </c>
      <c r="C92" s="12"/>
      <c r="D92" s="8">
        <v>4988.75</v>
      </c>
      <c r="E92" s="3"/>
      <c r="F92" s="7">
        <f t="shared" si="12"/>
        <v>8.6613334670418082E-3</v>
      </c>
      <c r="G92" s="3"/>
      <c r="H92" s="8">
        <v>4826.13</v>
      </c>
      <c r="I92" s="3"/>
      <c r="J92" s="7">
        <f t="shared" si="13"/>
        <v>4.0112384793244346E-2</v>
      </c>
      <c r="K92" s="3"/>
      <c r="L92" s="8">
        <f t="shared" si="14"/>
        <v>162.61999999999989</v>
      </c>
      <c r="M92" s="3"/>
      <c r="N92" s="7">
        <f t="shared" si="15"/>
        <v>3.3695735506503115E-2</v>
      </c>
      <c r="O92" s="12"/>
      <c r="P92" s="8">
        <v>38322.03</v>
      </c>
      <c r="Q92" s="3"/>
      <c r="R92" s="7">
        <f t="shared" si="16"/>
        <v>1.3121894922589764E-2</v>
      </c>
      <c r="S92" s="3"/>
      <c r="T92" s="8">
        <v>43771.17</v>
      </c>
      <c r="U92" s="3"/>
      <c r="V92" s="7">
        <f t="shared" si="17"/>
        <v>3.2850385780205382E-2</v>
      </c>
      <c r="W92" s="3"/>
      <c r="X92" s="8">
        <f t="shared" si="18"/>
        <v>-5449.1399999999994</v>
      </c>
      <c r="Y92" s="3"/>
      <c r="Z92" s="7">
        <f t="shared" si="19"/>
        <v>-0.12449153175480572</v>
      </c>
    </row>
    <row r="93" spans="1:26" s="69" customFormat="1" ht="15" hidden="1" customHeight="1" outlineLevel="2" x14ac:dyDescent="0.3">
      <c r="A93" s="26"/>
      <c r="B93" s="12" t="str">
        <f>CONCATENATE("          ","6114"," - ","STATE UNEMPLOYMENT INSURANCE")</f>
        <v xml:space="preserve">          6114 - STATE UNEMPLOYMENT INSURANCE</v>
      </c>
      <c r="C93" s="12"/>
      <c r="D93" s="8">
        <v>220</v>
      </c>
      <c r="E93" s="3"/>
      <c r="F93" s="7">
        <f t="shared" si="12"/>
        <v>3.8195807822584773E-4</v>
      </c>
      <c r="G93" s="3"/>
      <c r="H93" s="8">
        <v>104.71</v>
      </c>
      <c r="I93" s="3"/>
      <c r="J93" s="7">
        <f t="shared" si="13"/>
        <v>8.7029727995321623E-4</v>
      </c>
      <c r="K93" s="3"/>
      <c r="L93" s="8">
        <f t="shared" si="14"/>
        <v>115.29</v>
      </c>
      <c r="M93" s="3"/>
      <c r="N93" s="7">
        <f t="shared" si="15"/>
        <v>1.101040970298921</v>
      </c>
      <c r="O93" s="12"/>
      <c r="P93" s="8">
        <v>1389.18</v>
      </c>
      <c r="Q93" s="3"/>
      <c r="R93" s="7">
        <f t="shared" si="16"/>
        <v>4.7567088665614139E-4</v>
      </c>
      <c r="S93" s="3"/>
      <c r="T93" s="8">
        <v>1030.4100000000001</v>
      </c>
      <c r="U93" s="3"/>
      <c r="V93" s="7">
        <f t="shared" si="17"/>
        <v>7.733255933478916E-4</v>
      </c>
      <c r="W93" s="3"/>
      <c r="X93" s="8">
        <f t="shared" si="18"/>
        <v>358.77</v>
      </c>
      <c r="Y93" s="3"/>
      <c r="Z93" s="7">
        <f t="shared" si="19"/>
        <v>0.3481817917139779</v>
      </c>
    </row>
    <row r="94" spans="1:26" s="69" customFormat="1" ht="15" hidden="1" customHeight="1" outlineLevel="2" x14ac:dyDescent="0.3">
      <c r="A94" s="26"/>
      <c r="B94" s="12" t="str">
        <f>CONCATENATE("          ","6115"," - ","P.E.R.S.")</f>
        <v xml:space="preserve">          6115 - P.E.R.S.</v>
      </c>
      <c r="C94" s="12"/>
      <c r="D94" s="8">
        <v>1403.98</v>
      </c>
      <c r="E94" s="3"/>
      <c r="F94" s="7">
        <f t="shared" si="12"/>
        <v>2.4375522848523895E-3</v>
      </c>
      <c r="G94" s="3"/>
      <c r="H94" s="8">
        <v>1852.83</v>
      </c>
      <c r="I94" s="3"/>
      <c r="J94" s="7">
        <f t="shared" si="13"/>
        <v>1.5399798579082396E-2</v>
      </c>
      <c r="K94" s="3"/>
      <c r="L94" s="8">
        <f t="shared" si="14"/>
        <v>-448.84999999999991</v>
      </c>
      <c r="M94" s="3"/>
      <c r="N94" s="7">
        <f t="shared" si="15"/>
        <v>-0.24225104299908784</v>
      </c>
      <c r="O94" s="12"/>
      <c r="P94" s="8">
        <v>13439.63</v>
      </c>
      <c r="Q94" s="3"/>
      <c r="R94" s="7">
        <f t="shared" si="16"/>
        <v>4.6018807630620051E-3</v>
      </c>
      <c r="S94" s="3"/>
      <c r="T94" s="8">
        <v>16248.03</v>
      </c>
      <c r="U94" s="3"/>
      <c r="V94" s="7">
        <f t="shared" si="17"/>
        <v>1.219419205994152E-2</v>
      </c>
      <c r="W94" s="3"/>
      <c r="X94" s="8">
        <f t="shared" si="18"/>
        <v>-2808.4000000000015</v>
      </c>
      <c r="Y94" s="3"/>
      <c r="Z94" s="7">
        <f t="shared" si="19"/>
        <v>-0.1728455695859745</v>
      </c>
    </row>
    <row r="95" spans="1:26" s="69" customFormat="1" ht="15" hidden="1" customHeight="1" outlineLevel="2" x14ac:dyDescent="0.3">
      <c r="A95" s="26"/>
      <c r="B95" s="12" t="str">
        <f>CONCATENATE("          ","6118"," - ","VACATION")</f>
        <v xml:space="preserve">          6118 - VACATION</v>
      </c>
      <c r="C95" s="12"/>
      <c r="D95" s="8">
        <v>2084.77</v>
      </c>
      <c r="E95" s="3"/>
      <c r="F95" s="7">
        <f t="shared" si="12"/>
        <v>3.6195215579222753E-3</v>
      </c>
      <c r="G95" s="3"/>
      <c r="H95" s="8">
        <v>1633.18</v>
      </c>
      <c r="I95" s="3"/>
      <c r="J95" s="7">
        <f t="shared" si="13"/>
        <v>1.3574177362945219E-2</v>
      </c>
      <c r="K95" s="3"/>
      <c r="L95" s="8">
        <f t="shared" si="14"/>
        <v>451.58999999999992</v>
      </c>
      <c r="M95" s="3"/>
      <c r="N95" s="7">
        <f t="shared" si="15"/>
        <v>0.27650963151642799</v>
      </c>
      <c r="O95" s="12"/>
      <c r="P95" s="8">
        <v>16590.060000000001</v>
      </c>
      <c r="Q95" s="3"/>
      <c r="R95" s="7">
        <f t="shared" si="16"/>
        <v>5.6806234972275622E-3</v>
      </c>
      <c r="S95" s="3"/>
      <c r="T95" s="8">
        <v>13629.41</v>
      </c>
      <c r="U95" s="3"/>
      <c r="V95" s="7">
        <f t="shared" si="17"/>
        <v>1.0228910409673515E-2</v>
      </c>
      <c r="W95" s="3"/>
      <c r="X95" s="8">
        <f t="shared" si="18"/>
        <v>2960.6500000000015</v>
      </c>
      <c r="Y95" s="3"/>
      <c r="Z95" s="7">
        <f t="shared" si="19"/>
        <v>0.21722510365452366</v>
      </c>
    </row>
    <row r="96" spans="1:26" s="69" customFormat="1" ht="15" hidden="1" customHeight="1" outlineLevel="2" x14ac:dyDescent="0.3">
      <c r="A96" s="26"/>
      <c r="B96" s="12" t="str">
        <f>CONCATENATE("          ","6119"," - ","SICK LEAVE")</f>
        <v xml:space="preserve">          6119 - SICK LEAVE</v>
      </c>
      <c r="C96" s="12"/>
      <c r="D96" s="8">
        <v>1933.93</v>
      </c>
      <c r="E96" s="3"/>
      <c r="F96" s="7">
        <f t="shared" si="12"/>
        <v>3.3576372101059718E-3</v>
      </c>
      <c r="G96" s="3"/>
      <c r="H96" s="8">
        <v>1105.6199999999999</v>
      </c>
      <c r="I96" s="3"/>
      <c r="J96" s="7">
        <f t="shared" si="13"/>
        <v>9.1893618437768592E-3</v>
      </c>
      <c r="K96" s="3"/>
      <c r="L96" s="8">
        <f t="shared" si="14"/>
        <v>828.31000000000017</v>
      </c>
      <c r="M96" s="3"/>
      <c r="N96" s="7">
        <f t="shared" si="15"/>
        <v>0.74918145474937159</v>
      </c>
      <c r="O96" s="12"/>
      <c r="P96" s="8">
        <v>14600.36</v>
      </c>
      <c r="Q96" s="3"/>
      <c r="R96" s="7">
        <f t="shared" si="16"/>
        <v>4.9993277953172812E-3</v>
      </c>
      <c r="S96" s="3"/>
      <c r="T96" s="8">
        <v>10131.02</v>
      </c>
      <c r="U96" s="3"/>
      <c r="V96" s="7">
        <f t="shared" si="17"/>
        <v>7.6033589083174232E-3</v>
      </c>
      <c r="W96" s="3"/>
      <c r="X96" s="8">
        <f t="shared" si="18"/>
        <v>4469.34</v>
      </c>
      <c r="Y96" s="3"/>
      <c r="Z96" s="7">
        <f t="shared" si="19"/>
        <v>0.44115400028822371</v>
      </c>
    </row>
    <row r="97" spans="1:26" s="69" customFormat="1" ht="15" hidden="1" customHeight="1" outlineLevel="2" x14ac:dyDescent="0.3">
      <c r="A97" s="26"/>
      <c r="B97" s="12" t="str">
        <f>CONCATENATE("          ","6156"," - ","EMPLOYEE MEALS")</f>
        <v xml:space="preserve">          6156 - EMPLOYEE MEALS</v>
      </c>
      <c r="C97" s="12"/>
      <c r="D97" s="8">
        <v>961.69</v>
      </c>
      <c r="E97" s="3"/>
      <c r="F97" s="7">
        <f t="shared" si="12"/>
        <v>1.6696602920409796E-3</v>
      </c>
      <c r="G97" s="3"/>
      <c r="H97" s="8">
        <v>408.17</v>
      </c>
      <c r="I97" s="3"/>
      <c r="J97" s="7">
        <f t="shared" si="13"/>
        <v>3.3925054030990763E-3</v>
      </c>
      <c r="K97" s="3"/>
      <c r="L97" s="8">
        <f t="shared" si="14"/>
        <v>553.52</v>
      </c>
      <c r="M97" s="3"/>
      <c r="N97" s="7">
        <f t="shared" si="15"/>
        <v>1.3561016243231985</v>
      </c>
      <c r="O97" s="12"/>
      <c r="P97" s="8">
        <v>6355.97</v>
      </c>
      <c r="Q97" s="3"/>
      <c r="R97" s="7">
        <f t="shared" si="16"/>
        <v>2.1763557533651758E-3</v>
      </c>
      <c r="S97" s="3"/>
      <c r="T97" s="8">
        <v>3505.49</v>
      </c>
      <c r="U97" s="3"/>
      <c r="V97" s="7">
        <f t="shared" si="17"/>
        <v>2.63088007125814E-3</v>
      </c>
      <c r="W97" s="3"/>
      <c r="X97" s="8">
        <f t="shared" si="18"/>
        <v>2850.4800000000005</v>
      </c>
      <c r="Y97" s="3"/>
      <c r="Z97" s="7">
        <f t="shared" si="19"/>
        <v>0.81314737739945075</v>
      </c>
    </row>
    <row r="98" spans="1:26" s="68" customFormat="1" ht="15" customHeight="1" outlineLevel="1" collapsed="1" x14ac:dyDescent="0.3">
      <c r="A98" s="25"/>
      <c r="B98" s="14" t="str">
        <f>CONCATENATE("     ","*Payroll                                          ")</f>
        <v xml:space="preserve">     *Payroll                                          </v>
      </c>
      <c r="C98" s="14"/>
      <c r="D98" s="2">
        <f>SUM(OSRRefD22_1x_0)</f>
        <v>83206.429999999993</v>
      </c>
      <c r="E98" s="2"/>
      <c r="F98" s="6">
        <f t="shared" si="12"/>
        <v>0.14446076408560693</v>
      </c>
      <c r="G98" s="2"/>
      <c r="H98" s="2">
        <f>SUM(OSRRefH22_1x_0)</f>
        <v>37229.65</v>
      </c>
      <c r="I98" s="2"/>
      <c r="J98" s="6">
        <f t="shared" si="13"/>
        <v>0.3094342768466265</v>
      </c>
      <c r="K98" s="2"/>
      <c r="L98" s="2">
        <f t="shared" si="14"/>
        <v>45976.779999999992</v>
      </c>
      <c r="M98" s="2"/>
      <c r="N98" s="6">
        <f t="shared" si="15"/>
        <v>1.2349506374623449</v>
      </c>
      <c r="O98" s="14"/>
      <c r="P98" s="2">
        <f>SUM(OSRRefP22_1x_0)</f>
        <v>541103.77</v>
      </c>
      <c r="Q98" s="2"/>
      <c r="R98" s="6">
        <f t="shared" si="16"/>
        <v>0.18528002854121192</v>
      </c>
      <c r="S98" s="2"/>
      <c r="T98" s="2">
        <f>SUM(OSRRefT22_1x_0)</f>
        <v>311804.98000000004</v>
      </c>
      <c r="U98" s="2"/>
      <c r="V98" s="6">
        <f t="shared" si="17"/>
        <v>0.23401051151224025</v>
      </c>
      <c r="W98" s="2"/>
      <c r="X98" s="2">
        <f t="shared" si="18"/>
        <v>229298.78999999998</v>
      </c>
      <c r="Y98" s="2"/>
      <c r="Z98" s="6">
        <f t="shared" si="19"/>
        <v>0.73539168617512118</v>
      </c>
    </row>
    <row r="99" spans="1:26" s="69" customFormat="1" ht="15" hidden="1" customHeight="1" outlineLevel="2" x14ac:dyDescent="0.3">
      <c r="A99" s="26"/>
      <c r="B99" s="12" t="str">
        <f>CONCATENATE("          ","6002"," - ","STAFF SALARIES")</f>
        <v xml:space="preserve">          6002 - STAFF SALARIES</v>
      </c>
      <c r="C99" s="12"/>
      <c r="D99" s="8">
        <v>13696.08</v>
      </c>
      <c r="E99" s="3"/>
      <c r="F99" s="7">
        <f t="shared" si="12"/>
        <v>2.3778765436488495E-2</v>
      </c>
      <c r="G99" s="3"/>
      <c r="H99" s="8">
        <v>18906.509999999998</v>
      </c>
      <c r="I99" s="3"/>
      <c r="J99" s="7">
        <f t="shared" si="13"/>
        <v>0.1571414786210322</v>
      </c>
      <c r="K99" s="3"/>
      <c r="L99" s="8">
        <f t="shared" si="14"/>
        <v>-5210.4299999999985</v>
      </c>
      <c r="M99" s="3"/>
      <c r="N99" s="7">
        <f t="shared" si="15"/>
        <v>-0.27558920181461299</v>
      </c>
      <c r="O99" s="12"/>
      <c r="P99" s="8">
        <v>132318.47</v>
      </c>
      <c r="Q99" s="3"/>
      <c r="R99" s="7">
        <f t="shared" si="16"/>
        <v>4.530733522357365E-2</v>
      </c>
      <c r="S99" s="3"/>
      <c r="T99" s="8">
        <v>145810.06</v>
      </c>
      <c r="U99" s="3"/>
      <c r="V99" s="7">
        <f t="shared" si="17"/>
        <v>0.10943085875097452</v>
      </c>
      <c r="W99" s="3"/>
      <c r="X99" s="8">
        <f t="shared" si="18"/>
        <v>-13491.589999999997</v>
      </c>
      <c r="Y99" s="3"/>
      <c r="Z99" s="7">
        <f t="shared" si="19"/>
        <v>-9.2528526495359767E-2</v>
      </c>
    </row>
    <row r="100" spans="1:26" s="69" customFormat="1" ht="15" hidden="1" customHeight="1" outlineLevel="2" x14ac:dyDescent="0.3">
      <c r="A100" s="26"/>
      <c r="B100" s="12" t="str">
        <f>CONCATENATE("          ","6004"," - ","STAFF HOURLY")</f>
        <v xml:space="preserve">          6004 - STAFF HOURLY</v>
      </c>
      <c r="C100" s="12"/>
      <c r="D100" s="8">
        <v>13957.01</v>
      </c>
      <c r="E100" s="3"/>
      <c r="F100" s="7">
        <f t="shared" si="12"/>
        <v>2.4231785078995177E-2</v>
      </c>
      <c r="G100" s="3"/>
      <c r="H100" s="8">
        <v>3620.72</v>
      </c>
      <c r="I100" s="3"/>
      <c r="J100" s="7">
        <f t="shared" si="13"/>
        <v>3.0093618254915567E-2</v>
      </c>
      <c r="K100" s="3"/>
      <c r="L100" s="8">
        <f t="shared" si="14"/>
        <v>10336.290000000001</v>
      </c>
      <c r="M100" s="3"/>
      <c r="N100" s="7">
        <f t="shared" si="15"/>
        <v>2.8547609315274314</v>
      </c>
      <c r="O100" s="12"/>
      <c r="P100" s="8">
        <v>74552.149999999994</v>
      </c>
      <c r="Q100" s="3"/>
      <c r="R100" s="7">
        <f t="shared" si="16"/>
        <v>2.5527496287465732E-2</v>
      </c>
      <c r="S100" s="3"/>
      <c r="T100" s="8">
        <v>49283.39</v>
      </c>
      <c r="U100" s="3"/>
      <c r="V100" s="7">
        <f t="shared" si="17"/>
        <v>3.6987322341539328E-2</v>
      </c>
      <c r="W100" s="3"/>
      <c r="X100" s="8">
        <f t="shared" si="18"/>
        <v>25268.759999999995</v>
      </c>
      <c r="Y100" s="3"/>
      <c r="Z100" s="7">
        <f t="shared" si="19"/>
        <v>0.51272365801135023</v>
      </c>
    </row>
    <row r="101" spans="1:26" s="69" customFormat="1" ht="15" hidden="1" customHeight="1" outlineLevel="2" x14ac:dyDescent="0.3">
      <c r="A101" s="26"/>
      <c r="B101" s="12" t="str">
        <f>CONCATENATE("          ","6005"," - ","TEMPORARY WAGES-HOURLY")</f>
        <v xml:space="preserve">          6005 - TEMPORARY WAGES-HOURLY</v>
      </c>
      <c r="C101" s="12"/>
      <c r="D101" s="8">
        <v>4048.6</v>
      </c>
      <c r="E101" s="3"/>
      <c r="F101" s="7">
        <f t="shared" si="12"/>
        <v>7.0290703432053054E-3</v>
      </c>
      <c r="G101" s="3"/>
      <c r="H101" s="8">
        <v>6204.5</v>
      </c>
      <c r="I101" s="3"/>
      <c r="J101" s="7">
        <f t="shared" si="13"/>
        <v>5.1568708561452875E-2</v>
      </c>
      <c r="K101" s="3"/>
      <c r="L101" s="8">
        <f t="shared" si="14"/>
        <v>-2155.9</v>
      </c>
      <c r="M101" s="3"/>
      <c r="N101" s="7">
        <f t="shared" si="15"/>
        <v>-0.3474736078652591</v>
      </c>
      <c r="O101" s="12"/>
      <c r="P101" s="8">
        <v>29168.27</v>
      </c>
      <c r="Q101" s="3"/>
      <c r="R101" s="7">
        <f t="shared" si="16"/>
        <v>9.9875443449558218E-3</v>
      </c>
      <c r="S101" s="3"/>
      <c r="T101" s="8">
        <v>48859.63</v>
      </c>
      <c r="U101" s="3"/>
      <c r="V101" s="7">
        <f t="shared" si="17"/>
        <v>3.6669289273695359E-2</v>
      </c>
      <c r="W101" s="3"/>
      <c r="X101" s="8">
        <f t="shared" si="18"/>
        <v>-19691.359999999997</v>
      </c>
      <c r="Y101" s="3"/>
      <c r="Z101" s="7">
        <f t="shared" si="19"/>
        <v>-0.40301901590331318</v>
      </c>
    </row>
    <row r="102" spans="1:26" s="69" customFormat="1" ht="15" hidden="1" customHeight="1" outlineLevel="2" x14ac:dyDescent="0.3">
      <c r="A102" s="26"/>
      <c r="B102" s="12" t="str">
        <f>CONCATENATE("          ","6006"," - ","TEMPORARY PART TIME")</f>
        <v xml:space="preserve">          6006 - TEMPORARY PART TIME</v>
      </c>
      <c r="C102" s="12"/>
      <c r="D102" s="8"/>
      <c r="E102" s="3"/>
      <c r="F102" s="7">
        <f t="shared" si="12"/>
        <v>0</v>
      </c>
      <c r="G102" s="3"/>
      <c r="H102" s="8">
        <v>1294.42</v>
      </c>
      <c r="I102" s="3"/>
      <c r="J102" s="7">
        <f t="shared" si="13"/>
        <v>1.075857325104615E-2</v>
      </c>
      <c r="K102" s="3"/>
      <c r="L102" s="8">
        <f t="shared" si="14"/>
        <v>-1294.42</v>
      </c>
      <c r="M102" s="3"/>
      <c r="N102" s="7">
        <f t="shared" si="15"/>
        <v>-1</v>
      </c>
      <c r="O102" s="12"/>
      <c r="P102" s="8"/>
      <c r="Q102" s="3"/>
      <c r="R102" s="7">
        <f t="shared" si="16"/>
        <v>0</v>
      </c>
      <c r="S102" s="3"/>
      <c r="T102" s="8">
        <v>1294.42</v>
      </c>
      <c r="U102" s="3"/>
      <c r="V102" s="7">
        <f t="shared" si="17"/>
        <v>9.7146583839576267E-4</v>
      </c>
      <c r="W102" s="3"/>
      <c r="X102" s="8">
        <f t="shared" si="18"/>
        <v>-1294.42</v>
      </c>
      <c r="Y102" s="3"/>
      <c r="Z102" s="7">
        <f t="shared" si="19"/>
        <v>-1</v>
      </c>
    </row>
    <row r="103" spans="1:26" s="69" customFormat="1" ht="15" hidden="1" customHeight="1" outlineLevel="2" x14ac:dyDescent="0.3">
      <c r="A103" s="26"/>
      <c r="B103" s="12" t="str">
        <f>CONCATENATE("          ","6007"," - ","STUDENT HOURLY")</f>
        <v xml:space="preserve">          6007 - STUDENT HOURLY</v>
      </c>
      <c r="C103" s="12"/>
      <c r="D103" s="8">
        <v>38177.019999999997</v>
      </c>
      <c r="E103" s="3"/>
      <c r="F103" s="7">
        <f t="shared" si="12"/>
        <v>6.6281914507226147E-2</v>
      </c>
      <c r="G103" s="3"/>
      <c r="H103" s="8">
        <v>6364.48</v>
      </c>
      <c r="I103" s="3"/>
      <c r="J103" s="7">
        <f t="shared" si="13"/>
        <v>5.2898382507082856E-2</v>
      </c>
      <c r="K103" s="3"/>
      <c r="L103" s="8">
        <f t="shared" si="14"/>
        <v>31812.539999999997</v>
      </c>
      <c r="M103" s="3"/>
      <c r="N103" s="7">
        <f t="shared" si="15"/>
        <v>4.9984507768113025</v>
      </c>
      <c r="O103" s="12"/>
      <c r="P103" s="8">
        <v>244386.89</v>
      </c>
      <c r="Q103" s="3"/>
      <c r="R103" s="7">
        <f t="shared" si="16"/>
        <v>8.3680825129527417E-2</v>
      </c>
      <c r="S103" s="3"/>
      <c r="T103" s="8">
        <v>60225.49</v>
      </c>
      <c r="U103" s="3"/>
      <c r="V103" s="7">
        <f t="shared" si="17"/>
        <v>4.5199399063399523E-2</v>
      </c>
      <c r="W103" s="3"/>
      <c r="X103" s="8">
        <f t="shared" si="18"/>
        <v>184161.40000000002</v>
      </c>
      <c r="Y103" s="3"/>
      <c r="Z103" s="7">
        <f t="shared" si="19"/>
        <v>3.0578647014744096</v>
      </c>
    </row>
    <row r="104" spans="1:26" s="69" customFormat="1" ht="15" hidden="1" customHeight="1" outlineLevel="2" x14ac:dyDescent="0.3">
      <c r="A104" s="26"/>
      <c r="B104" s="12" t="str">
        <f>CONCATENATE("          ","6008"," - ","STUDENT HOURLY-FICA EXEMPT")</f>
        <v xml:space="preserve">          6008 - STUDENT HOURLY-FICA EXEMPT</v>
      </c>
      <c r="C104" s="12"/>
      <c r="D104" s="8">
        <v>13327.72</v>
      </c>
      <c r="E104" s="3"/>
      <c r="F104" s="7">
        <f t="shared" si="12"/>
        <v>2.3139228719691797E-2</v>
      </c>
      <c r="G104" s="3"/>
      <c r="H104" s="8">
        <v>839.02</v>
      </c>
      <c r="I104" s="3"/>
      <c r="J104" s="7">
        <f t="shared" si="13"/>
        <v>6.9735156510968149E-3</v>
      </c>
      <c r="K104" s="3"/>
      <c r="L104" s="8">
        <f t="shared" si="14"/>
        <v>12488.699999999999</v>
      </c>
      <c r="M104" s="3"/>
      <c r="N104" s="7">
        <f t="shared" si="15"/>
        <v>14.884865676622725</v>
      </c>
      <c r="O104" s="12"/>
      <c r="P104" s="8">
        <v>60677.99</v>
      </c>
      <c r="Q104" s="3"/>
      <c r="R104" s="7">
        <f t="shared" si="16"/>
        <v>2.0776827555689312E-2</v>
      </c>
      <c r="S104" s="3"/>
      <c r="T104" s="8">
        <v>6331.99</v>
      </c>
      <c r="U104" s="3"/>
      <c r="V104" s="7">
        <f t="shared" si="17"/>
        <v>4.7521762442357075E-3</v>
      </c>
      <c r="W104" s="3"/>
      <c r="X104" s="8">
        <f t="shared" si="18"/>
        <v>54346</v>
      </c>
      <c r="Y104" s="3"/>
      <c r="Z104" s="7">
        <f t="shared" si="19"/>
        <v>8.5827678186478504</v>
      </c>
    </row>
    <row r="105" spans="1:26" s="68" customFormat="1" ht="15" customHeight="1" outlineLevel="1" collapsed="1" x14ac:dyDescent="0.3">
      <c r="A105" s="25"/>
      <c r="B105" s="14" t="str">
        <f>CONCATENATE("     ","Advertising/Promo                                 ")</f>
        <v xml:space="preserve">     Advertising/Promo                                 </v>
      </c>
      <c r="C105" s="14"/>
      <c r="D105" s="2">
        <f>SUM(OSRRefD22_2x_0)</f>
        <v>316.10000000000002</v>
      </c>
      <c r="E105" s="2"/>
      <c r="F105" s="6">
        <f t="shared" si="12"/>
        <v>5.4880431148722941E-4</v>
      </c>
      <c r="G105" s="2"/>
      <c r="H105" s="2">
        <f>SUM(OSRRefH22_2x_0)</f>
        <v>114.65</v>
      </c>
      <c r="I105" s="2"/>
      <c r="J105" s="6">
        <f t="shared" si="13"/>
        <v>9.5291360086559307E-4</v>
      </c>
      <c r="K105" s="2"/>
      <c r="L105" s="2">
        <f t="shared" si="14"/>
        <v>201.45000000000002</v>
      </c>
      <c r="M105" s="2"/>
      <c r="N105" s="6">
        <f t="shared" si="15"/>
        <v>1.7570867858700394</v>
      </c>
      <c r="O105" s="14"/>
      <c r="P105" s="2">
        <f>SUM(OSRRefP22_2x_0)</f>
        <v>6020.61</v>
      </c>
      <c r="Q105" s="2"/>
      <c r="R105" s="6">
        <f t="shared" si="16"/>
        <v>2.0615247101965412E-3</v>
      </c>
      <c r="S105" s="2"/>
      <c r="T105" s="2">
        <f>SUM(OSRRefT22_2x_0)</f>
        <v>13924.24</v>
      </c>
      <c r="U105" s="2"/>
      <c r="V105" s="6">
        <f t="shared" si="17"/>
        <v>1.0450181151113095E-2</v>
      </c>
      <c r="W105" s="2"/>
      <c r="X105" s="2">
        <f t="shared" si="18"/>
        <v>-7903.63</v>
      </c>
      <c r="Y105" s="2"/>
      <c r="Z105" s="6">
        <f t="shared" si="19"/>
        <v>-0.56761661677764819</v>
      </c>
    </row>
    <row r="106" spans="1:26" s="69" customFormat="1" ht="15" hidden="1" customHeight="1" outlineLevel="2" x14ac:dyDescent="0.3">
      <c r="A106" s="26"/>
      <c r="B106" s="12" t="str">
        <f>CONCATENATE("          ","6362"," - ","ADVERTISING EXPENSE")</f>
        <v xml:space="preserve">          6362 - ADVERTISING EXPENSE</v>
      </c>
      <c r="C106" s="12"/>
      <c r="D106" s="8">
        <v>316.10000000000002</v>
      </c>
      <c r="E106" s="3"/>
      <c r="F106" s="7">
        <f t="shared" si="12"/>
        <v>5.4880431148722941E-4</v>
      </c>
      <c r="G106" s="3"/>
      <c r="H106" s="8">
        <v>114.65</v>
      </c>
      <c r="I106" s="3"/>
      <c r="J106" s="7">
        <f t="shared" si="13"/>
        <v>9.5291360086559307E-4</v>
      </c>
      <c r="K106" s="3"/>
      <c r="L106" s="8">
        <f t="shared" si="14"/>
        <v>201.45000000000002</v>
      </c>
      <c r="M106" s="3"/>
      <c r="N106" s="7">
        <f t="shared" si="15"/>
        <v>1.7570867858700394</v>
      </c>
      <c r="O106" s="12"/>
      <c r="P106" s="8">
        <v>6020.61</v>
      </c>
      <c r="Q106" s="3"/>
      <c r="R106" s="7">
        <f t="shared" si="16"/>
        <v>2.0615247101965412E-3</v>
      </c>
      <c r="S106" s="3"/>
      <c r="T106" s="8">
        <v>13924.24</v>
      </c>
      <c r="U106" s="3"/>
      <c r="V106" s="7">
        <f t="shared" si="17"/>
        <v>1.0450181151113095E-2</v>
      </c>
      <c r="W106" s="3"/>
      <c r="X106" s="8">
        <f t="shared" si="18"/>
        <v>-7903.63</v>
      </c>
      <c r="Y106" s="3"/>
      <c r="Z106" s="7">
        <f t="shared" si="19"/>
        <v>-0.56761661677764819</v>
      </c>
    </row>
    <row r="107" spans="1:26" s="68" customFormat="1" ht="15" customHeight="1" outlineLevel="1" collapsed="1" x14ac:dyDescent="0.3">
      <c r="A107" s="25"/>
      <c r="B107" s="14" t="str">
        <f>CONCATENATE("     ","Bad Debts/Over/Short                              ")</f>
        <v xml:space="preserve">     Bad Debts/Over/Short                              </v>
      </c>
      <c r="C107" s="14"/>
      <c r="D107" s="2">
        <f>SUM(OSRRefD22_3x_0)</f>
        <v>-20.39</v>
      </c>
      <c r="E107" s="2"/>
      <c r="F107" s="6">
        <f t="shared" si="12"/>
        <v>-3.5400569159204711E-5</v>
      </c>
      <c r="G107" s="2"/>
      <c r="H107" s="2">
        <f>SUM(OSRRefH22_3x_0)</f>
        <v>-1.1499999999999999</v>
      </c>
      <c r="I107" s="2"/>
      <c r="J107" s="6">
        <f t="shared" si="13"/>
        <v>-9.5582262624983163E-6</v>
      </c>
      <c r="K107" s="2"/>
      <c r="L107" s="2">
        <f t="shared" si="14"/>
        <v>-19.240000000000002</v>
      </c>
      <c r="M107" s="2"/>
      <c r="N107" s="6">
        <f t="shared" si="15"/>
        <v>16.7304347826087</v>
      </c>
      <c r="O107" s="14"/>
      <c r="P107" s="2">
        <f>SUM(OSRRefP22_3x_0)</f>
        <v>-42.07</v>
      </c>
      <c r="Q107" s="2"/>
      <c r="R107" s="6">
        <f t="shared" si="16"/>
        <v>-1.440524208642787E-5</v>
      </c>
      <c r="S107" s="2"/>
      <c r="T107" s="2">
        <f>SUM(OSRRefT22_3x_0)</f>
        <v>-1.85</v>
      </c>
      <c r="U107" s="2"/>
      <c r="V107" s="6">
        <f t="shared" si="17"/>
        <v>-1.3884301857450911E-6</v>
      </c>
      <c r="W107" s="2"/>
      <c r="X107" s="2">
        <f t="shared" si="18"/>
        <v>-40.22</v>
      </c>
      <c r="Y107" s="2"/>
      <c r="Z107" s="6">
        <f t="shared" si="19"/>
        <v>21.74054054054054</v>
      </c>
    </row>
    <row r="108" spans="1:26" s="69" customFormat="1" ht="15" hidden="1" customHeight="1" outlineLevel="2" x14ac:dyDescent="0.3">
      <c r="A108" s="26"/>
      <c r="B108" s="12" t="str">
        <f>CONCATENATE("          ","6272"," - ","CASH (OVER/SHORT)")</f>
        <v xml:space="preserve">          6272 - CASH (OVER/SHORT)</v>
      </c>
      <c r="C108" s="12"/>
      <c r="D108" s="8">
        <v>-20.39</v>
      </c>
      <c r="E108" s="3"/>
      <c r="F108" s="7">
        <f t="shared" si="12"/>
        <v>-3.5400569159204711E-5</v>
      </c>
      <c r="G108" s="3"/>
      <c r="H108" s="8">
        <v>-1.1499999999999999</v>
      </c>
      <c r="I108" s="3"/>
      <c r="J108" s="7">
        <f t="shared" si="13"/>
        <v>-9.5582262624983163E-6</v>
      </c>
      <c r="K108" s="3"/>
      <c r="L108" s="8">
        <f t="shared" si="14"/>
        <v>-19.240000000000002</v>
      </c>
      <c r="M108" s="3"/>
      <c r="N108" s="7">
        <f t="shared" si="15"/>
        <v>16.7304347826087</v>
      </c>
      <c r="O108" s="12"/>
      <c r="P108" s="8">
        <v>-42.07</v>
      </c>
      <c r="Q108" s="3"/>
      <c r="R108" s="7">
        <f t="shared" si="16"/>
        <v>-1.440524208642787E-5</v>
      </c>
      <c r="S108" s="3"/>
      <c r="T108" s="8">
        <v>-1.85</v>
      </c>
      <c r="U108" s="3"/>
      <c r="V108" s="7">
        <f t="shared" si="17"/>
        <v>-1.3884301857450911E-6</v>
      </c>
      <c r="W108" s="3"/>
      <c r="X108" s="8">
        <f t="shared" si="18"/>
        <v>-40.22</v>
      </c>
      <c r="Y108" s="3"/>
      <c r="Z108" s="7">
        <f t="shared" si="19"/>
        <v>21.74054054054054</v>
      </c>
    </row>
    <row r="109" spans="1:26" s="68" customFormat="1" ht="15" customHeight="1" outlineLevel="1" collapsed="1" x14ac:dyDescent="0.3">
      <c r="A109" s="25"/>
      <c r="B109" s="14" t="str">
        <f>CONCATENATE("     ","Bank/card Fees                                    ")</f>
        <v xml:space="preserve">     Bank/card Fees                                    </v>
      </c>
      <c r="C109" s="14"/>
      <c r="D109" s="2">
        <f>SUM(OSRRefD22_4x_0)</f>
        <v>452.13</v>
      </c>
      <c r="E109" s="2"/>
      <c r="F109" s="6">
        <f t="shared" si="12"/>
        <v>7.8497593594660249E-4</v>
      </c>
      <c r="G109" s="2"/>
      <c r="H109" s="2">
        <f>SUM(OSRRefH22_4x_0)</f>
        <v>308.72000000000003</v>
      </c>
      <c r="I109" s="2"/>
      <c r="J109" s="6">
        <f t="shared" si="13"/>
        <v>2.565926618920418E-3</v>
      </c>
      <c r="K109" s="2"/>
      <c r="L109" s="2">
        <f t="shared" si="14"/>
        <v>143.40999999999997</v>
      </c>
      <c r="M109" s="2"/>
      <c r="N109" s="6">
        <f t="shared" si="15"/>
        <v>0.46453096657165055</v>
      </c>
      <c r="O109" s="14"/>
      <c r="P109" s="2">
        <f>SUM(OSRRefP22_4x_0)</f>
        <v>4266.21</v>
      </c>
      <c r="Q109" s="2"/>
      <c r="R109" s="6">
        <f t="shared" si="16"/>
        <v>1.4607983798797109E-3</v>
      </c>
      <c r="S109" s="2"/>
      <c r="T109" s="2">
        <f>SUM(OSRRefT22_4x_0)</f>
        <v>2867.73</v>
      </c>
      <c r="U109" s="2"/>
      <c r="V109" s="6">
        <f t="shared" si="17"/>
        <v>2.1522394035496054E-3</v>
      </c>
      <c r="W109" s="2"/>
      <c r="X109" s="2">
        <f t="shared" si="18"/>
        <v>1398.48</v>
      </c>
      <c r="Y109" s="2"/>
      <c r="Z109" s="6">
        <f t="shared" si="19"/>
        <v>0.48766097226726368</v>
      </c>
    </row>
    <row r="110" spans="1:26" s="69" customFormat="1" ht="15" hidden="1" customHeight="1" outlineLevel="2" x14ac:dyDescent="0.3">
      <c r="A110" s="26"/>
      <c r="B110" s="12" t="str">
        <f>CONCATENATE("          ","6381"," - ","BANK/CREDIT CARD FEES")</f>
        <v xml:space="preserve">          6381 - BANK/CREDIT CARD FEES</v>
      </c>
      <c r="C110" s="12"/>
      <c r="D110" s="8">
        <v>452.13</v>
      </c>
      <c r="E110" s="3"/>
      <c r="F110" s="7">
        <f t="shared" si="12"/>
        <v>7.8497593594660249E-4</v>
      </c>
      <c r="G110" s="3"/>
      <c r="H110" s="8">
        <v>308.72000000000003</v>
      </c>
      <c r="I110" s="3"/>
      <c r="J110" s="7">
        <f t="shared" si="13"/>
        <v>2.565926618920418E-3</v>
      </c>
      <c r="K110" s="3"/>
      <c r="L110" s="8">
        <f t="shared" si="14"/>
        <v>143.40999999999997</v>
      </c>
      <c r="M110" s="3"/>
      <c r="N110" s="7">
        <f t="shared" si="15"/>
        <v>0.46453096657165055</v>
      </c>
      <c r="O110" s="12"/>
      <c r="P110" s="8">
        <v>4266.21</v>
      </c>
      <c r="Q110" s="3"/>
      <c r="R110" s="7">
        <f t="shared" si="16"/>
        <v>1.4607983798797109E-3</v>
      </c>
      <c r="S110" s="3"/>
      <c r="T110" s="8">
        <v>2867.73</v>
      </c>
      <c r="U110" s="3"/>
      <c r="V110" s="7">
        <f t="shared" si="17"/>
        <v>2.1522394035496054E-3</v>
      </c>
      <c r="W110" s="3"/>
      <c r="X110" s="8">
        <f t="shared" si="18"/>
        <v>1398.48</v>
      </c>
      <c r="Y110" s="3"/>
      <c r="Z110" s="7">
        <f t="shared" si="19"/>
        <v>0.48766097226726368</v>
      </c>
    </row>
    <row r="111" spans="1:26" s="68" customFormat="1" ht="15" customHeight="1" outlineLevel="1" collapsed="1" x14ac:dyDescent="0.3">
      <c r="A111" s="25"/>
      <c r="B111" s="14" t="str">
        <f>CONCATENATE("     ","Discounts and Markdowns                           ")</f>
        <v xml:space="preserve">     Discounts and Markdowns                           </v>
      </c>
      <c r="C111" s="14"/>
      <c r="D111" s="2">
        <f>SUM(OSRRefD22_5x_0)</f>
        <v>0.98</v>
      </c>
      <c r="E111" s="2"/>
      <c r="F111" s="6">
        <f t="shared" si="12"/>
        <v>1.7014496211878673E-6</v>
      </c>
      <c r="G111" s="2"/>
      <c r="H111" s="2">
        <f>SUM(OSRRefH22_5x_0)</f>
        <v>0</v>
      </c>
      <c r="I111" s="2"/>
      <c r="J111" s="6">
        <f t="shared" si="13"/>
        <v>0</v>
      </c>
      <c r="K111" s="2"/>
      <c r="L111" s="2">
        <f t="shared" si="14"/>
        <v>0.98</v>
      </c>
      <c r="M111" s="2"/>
      <c r="N111" s="6">
        <f t="shared" si="15"/>
        <v>0</v>
      </c>
      <c r="O111" s="14"/>
      <c r="P111" s="2">
        <f>SUM(OSRRefP22_5x_0)</f>
        <v>0</v>
      </c>
      <c r="Q111" s="2"/>
      <c r="R111" s="6">
        <f t="shared" si="16"/>
        <v>0</v>
      </c>
      <c r="S111" s="2"/>
      <c r="T111" s="2">
        <f>SUM(OSRRefT22_5x_0)</f>
        <v>0</v>
      </c>
      <c r="U111" s="2"/>
      <c r="V111" s="6">
        <f t="shared" si="17"/>
        <v>0</v>
      </c>
      <c r="W111" s="2"/>
      <c r="X111" s="2">
        <f t="shared" si="18"/>
        <v>0</v>
      </c>
      <c r="Y111" s="2"/>
      <c r="Z111" s="6">
        <f t="shared" si="19"/>
        <v>0</v>
      </c>
    </row>
    <row r="112" spans="1:26" s="69" customFormat="1" ht="15" hidden="1" customHeight="1" outlineLevel="2" x14ac:dyDescent="0.3">
      <c r="A112" s="26"/>
      <c r="B112" s="12" t="str">
        <f>CONCATENATE("          ","6382"," - ","DISCOUNTS/MARK DOWNS")</f>
        <v xml:space="preserve">          6382 - DISCOUNTS/MARK DOWNS</v>
      </c>
      <c r="C112" s="12"/>
      <c r="D112" s="8"/>
      <c r="E112" s="3"/>
      <c r="F112" s="7">
        <f t="shared" si="12"/>
        <v>0</v>
      </c>
      <c r="G112" s="3"/>
      <c r="H112" s="8">
        <v>0</v>
      </c>
      <c r="I112" s="3"/>
      <c r="J112" s="7">
        <f t="shared" si="13"/>
        <v>0</v>
      </c>
      <c r="K112" s="3"/>
      <c r="L112" s="8">
        <f t="shared" si="14"/>
        <v>0</v>
      </c>
      <c r="M112" s="3"/>
      <c r="N112" s="7">
        <f t="shared" si="15"/>
        <v>0</v>
      </c>
      <c r="O112" s="12"/>
      <c r="P112" s="8"/>
      <c r="Q112" s="3"/>
      <c r="R112" s="7">
        <f t="shared" si="16"/>
        <v>0</v>
      </c>
      <c r="S112" s="3"/>
      <c r="T112" s="8">
        <v>0</v>
      </c>
      <c r="U112" s="3"/>
      <c r="V112" s="7">
        <f t="shared" si="17"/>
        <v>0</v>
      </c>
      <c r="W112" s="3"/>
      <c r="X112" s="8">
        <f t="shared" si="18"/>
        <v>0</v>
      </c>
      <c r="Y112" s="3"/>
      <c r="Z112" s="7">
        <f t="shared" si="19"/>
        <v>0</v>
      </c>
    </row>
    <row r="113" spans="1:26" s="69" customFormat="1" ht="15" hidden="1" customHeight="1" outlineLevel="2" x14ac:dyDescent="0.3">
      <c r="A113" s="26"/>
      <c r="B113" s="12" t="str">
        <f>CONCATENATE("          ","9175"," - ","EARNED DISCOUNTS")</f>
        <v xml:space="preserve">          9175 - EARNED DISCOUNTS</v>
      </c>
      <c r="C113" s="12"/>
      <c r="D113" s="8">
        <v>0.98</v>
      </c>
      <c r="E113" s="3"/>
      <c r="F113" s="7">
        <f t="shared" si="12"/>
        <v>1.7014496211878673E-6</v>
      </c>
      <c r="G113" s="3"/>
      <c r="H113" s="8"/>
      <c r="I113" s="3"/>
      <c r="J113" s="7">
        <f t="shared" si="13"/>
        <v>0</v>
      </c>
      <c r="K113" s="3"/>
      <c r="L113" s="8">
        <f t="shared" si="14"/>
        <v>0.98</v>
      </c>
      <c r="M113" s="3"/>
      <c r="N113" s="7">
        <f t="shared" si="15"/>
        <v>0</v>
      </c>
      <c r="O113" s="12"/>
      <c r="P113" s="8">
        <v>0</v>
      </c>
      <c r="Q113" s="3"/>
      <c r="R113" s="7">
        <f t="shared" si="16"/>
        <v>0</v>
      </c>
      <c r="S113" s="3"/>
      <c r="T113" s="8">
        <v>0</v>
      </c>
      <c r="U113" s="3"/>
      <c r="V113" s="7">
        <f t="shared" si="17"/>
        <v>0</v>
      </c>
      <c r="W113" s="3"/>
      <c r="X113" s="8">
        <f t="shared" si="18"/>
        <v>0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5"/>
      <c r="B114" s="14" t="str">
        <f>CONCATENATE("     ","Employees' Appreciation                           ")</f>
        <v xml:space="preserve">     Employees' Appreciation                           </v>
      </c>
      <c r="C114" s="14"/>
      <c r="D114" s="2">
        <f>SUM(OSRRefD22_6x_0)</f>
        <v>0</v>
      </c>
      <c r="E114" s="2"/>
      <c r="F114" s="6">
        <f t="shared" si="12"/>
        <v>0</v>
      </c>
      <c r="G114" s="2"/>
      <c r="H114" s="2">
        <f>SUM(OSRRefH22_6x_0)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SUM(OSRRefP22_6x_0)</f>
        <v>216.44</v>
      </c>
      <c r="Q114" s="2"/>
      <c r="R114" s="6">
        <f t="shared" si="16"/>
        <v>7.4111495060291138E-5</v>
      </c>
      <c r="S114" s="2"/>
      <c r="T114" s="2">
        <f>SUM(OSRRefT22_6x_0)</f>
        <v>0</v>
      </c>
      <c r="U114" s="2"/>
      <c r="V114" s="6">
        <f t="shared" si="17"/>
        <v>0</v>
      </c>
      <c r="W114" s="2"/>
      <c r="X114" s="2">
        <f t="shared" si="18"/>
        <v>216.44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","6277"," - ","EMPLOYEE APPRECIATION")</f>
        <v xml:space="preserve">          6277 - EMPLOYEE APPRECIATION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216.44</v>
      </c>
      <c r="Q115" s="3"/>
      <c r="R115" s="7">
        <f t="shared" si="16"/>
        <v>7.4111495060291138E-5</v>
      </c>
      <c r="S115" s="3"/>
      <c r="T115" s="8"/>
      <c r="U115" s="3"/>
      <c r="V115" s="7">
        <f t="shared" si="17"/>
        <v>0</v>
      </c>
      <c r="W115" s="3"/>
      <c r="X115" s="8">
        <f t="shared" si="18"/>
        <v>216.44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","Equipment Rental                                  ")</f>
        <v xml:space="preserve">     Equipment Rental                                  </v>
      </c>
      <c r="C116" s="14"/>
      <c r="D116" s="2">
        <f>SUM(OSRRefD22_7x_0)</f>
        <v>0</v>
      </c>
      <c r="E116" s="2"/>
      <c r="F116" s="6">
        <f t="shared" si="12"/>
        <v>0</v>
      </c>
      <c r="G116" s="2"/>
      <c r="H116" s="2">
        <f>SUM(OSRRefH22_7x_0)</f>
        <v>0</v>
      </c>
      <c r="I116" s="2"/>
      <c r="J116" s="6">
        <f t="shared" si="13"/>
        <v>0</v>
      </c>
      <c r="K116" s="2"/>
      <c r="L116" s="2">
        <f t="shared" si="14"/>
        <v>0</v>
      </c>
      <c r="M116" s="2"/>
      <c r="N116" s="6">
        <f t="shared" si="15"/>
        <v>0</v>
      </c>
      <c r="O116" s="14"/>
      <c r="P116" s="2">
        <f>SUM(OSRRefP22_7x_0)</f>
        <v>118.91</v>
      </c>
      <c r="Q116" s="2"/>
      <c r="R116" s="6">
        <f t="shared" si="16"/>
        <v>4.0716123995653386E-5</v>
      </c>
      <c r="S116" s="2"/>
      <c r="T116" s="2">
        <f>SUM(OSRRefT22_7x_0)</f>
        <v>0</v>
      </c>
      <c r="U116" s="2"/>
      <c r="V116" s="6">
        <f t="shared" si="17"/>
        <v>0</v>
      </c>
      <c r="W116" s="2"/>
      <c r="X116" s="2">
        <f t="shared" si="18"/>
        <v>118.91</v>
      </c>
      <c r="Y116" s="2"/>
      <c r="Z116" s="6">
        <f t="shared" si="19"/>
        <v>0</v>
      </c>
    </row>
    <row r="117" spans="1:26" s="69" customFormat="1" ht="15" hidden="1" customHeight="1" outlineLevel="2" x14ac:dyDescent="0.3">
      <c r="A117" s="26"/>
      <c r="B117" s="12" t="str">
        <f>CONCATENATE("          ","6351"," - ","EQUIPMENT RENTAL")</f>
        <v xml:space="preserve">          6351 - EQUIPMENT RENTAL</v>
      </c>
      <c r="C117" s="12"/>
      <c r="D117" s="8"/>
      <c r="E117" s="3"/>
      <c r="F117" s="7">
        <f t="shared" si="12"/>
        <v>0</v>
      </c>
      <c r="G117" s="3"/>
      <c r="H117" s="8"/>
      <c r="I117" s="3"/>
      <c r="J117" s="7">
        <f t="shared" si="13"/>
        <v>0</v>
      </c>
      <c r="K117" s="3"/>
      <c r="L117" s="8">
        <f t="shared" si="14"/>
        <v>0</v>
      </c>
      <c r="M117" s="3"/>
      <c r="N117" s="7">
        <f t="shared" si="15"/>
        <v>0</v>
      </c>
      <c r="O117" s="12"/>
      <c r="P117" s="8">
        <v>118.91</v>
      </c>
      <c r="Q117" s="3"/>
      <c r="R117" s="7">
        <f t="shared" si="16"/>
        <v>4.0716123995653386E-5</v>
      </c>
      <c r="S117" s="3"/>
      <c r="T117" s="8"/>
      <c r="U117" s="3"/>
      <c r="V117" s="7">
        <f t="shared" si="17"/>
        <v>0</v>
      </c>
      <c r="W117" s="3"/>
      <c r="X117" s="8">
        <f t="shared" si="18"/>
        <v>118.91</v>
      </c>
      <c r="Y117" s="3"/>
      <c r="Z117" s="7">
        <f t="shared" si="19"/>
        <v>0</v>
      </c>
    </row>
    <row r="118" spans="1:26" s="68" customFormat="1" ht="15" customHeight="1" outlineLevel="1" collapsed="1" x14ac:dyDescent="0.3">
      <c r="A118" s="25"/>
      <c r="B118" s="14" t="str">
        <f>CONCATENATE("     ","Freight out/Postage                               ")</f>
        <v xml:space="preserve">     Freight out/Postage                               </v>
      </c>
      <c r="C118" s="14"/>
      <c r="D118" s="2">
        <f>SUM(OSRRefD22_8x_0)</f>
        <v>0</v>
      </c>
      <c r="E118" s="2"/>
      <c r="F118" s="6">
        <f t="shared" si="12"/>
        <v>0</v>
      </c>
      <c r="G118" s="2"/>
      <c r="H118" s="2">
        <f>SUM(OSRRefH22_8x_0)</f>
        <v>52.110000000000007</v>
      </c>
      <c r="I118" s="2"/>
      <c r="J118" s="6">
        <f t="shared" si="13"/>
        <v>4.3311232220764114E-4</v>
      </c>
      <c r="K118" s="2"/>
      <c r="L118" s="2">
        <f t="shared" si="14"/>
        <v>-52.110000000000007</v>
      </c>
      <c r="M118" s="2"/>
      <c r="N118" s="6">
        <f t="shared" si="15"/>
        <v>-1</v>
      </c>
      <c r="O118" s="14"/>
      <c r="P118" s="2">
        <f>SUM(OSRRefP22_8x_0)</f>
        <v>983.79</v>
      </c>
      <c r="Q118" s="2"/>
      <c r="R118" s="6">
        <f t="shared" si="16"/>
        <v>3.3686078232010634E-4</v>
      </c>
      <c r="S118" s="2"/>
      <c r="T118" s="2">
        <f>SUM(OSRRefT22_8x_0)</f>
        <v>286.53000000000003</v>
      </c>
      <c r="U118" s="2"/>
      <c r="V118" s="6">
        <f t="shared" si="17"/>
        <v>2.1504156817380593E-4</v>
      </c>
      <c r="W118" s="2"/>
      <c r="X118" s="2">
        <f t="shared" si="18"/>
        <v>697.26</v>
      </c>
      <c r="Y118" s="2"/>
      <c r="Z118" s="6">
        <f t="shared" si="19"/>
        <v>2.4334624646633856</v>
      </c>
    </row>
    <row r="119" spans="1:26" s="69" customFormat="1" ht="15" hidden="1" customHeight="1" outlineLevel="2" x14ac:dyDescent="0.3">
      <c r="A119" s="26"/>
      <c r="B119" s="12" t="str">
        <f>CONCATENATE("          ","6305"," - ","FREIGHT OUT")</f>
        <v xml:space="preserve">          6305 - FREIGHT OUT</v>
      </c>
      <c r="C119" s="12"/>
      <c r="D119" s="8"/>
      <c r="E119" s="3"/>
      <c r="F119" s="7">
        <f t="shared" si="12"/>
        <v>0</v>
      </c>
      <c r="G119" s="3"/>
      <c r="H119" s="8">
        <v>66.260000000000005</v>
      </c>
      <c r="I119" s="3"/>
      <c r="J119" s="7">
        <f t="shared" si="13"/>
        <v>5.5072006274185954E-4</v>
      </c>
      <c r="K119" s="3"/>
      <c r="L119" s="8">
        <f t="shared" si="14"/>
        <v>-66.260000000000005</v>
      </c>
      <c r="M119" s="3"/>
      <c r="N119" s="7">
        <f t="shared" si="15"/>
        <v>-1</v>
      </c>
      <c r="O119" s="12"/>
      <c r="P119" s="8">
        <v>893.87</v>
      </c>
      <c r="Q119" s="3"/>
      <c r="R119" s="7">
        <f t="shared" si="16"/>
        <v>3.0607116101248583E-4</v>
      </c>
      <c r="S119" s="3"/>
      <c r="T119" s="8">
        <v>306.68</v>
      </c>
      <c r="U119" s="3"/>
      <c r="V119" s="7">
        <f t="shared" si="17"/>
        <v>2.3016419965638082E-4</v>
      </c>
      <c r="W119" s="3"/>
      <c r="X119" s="8">
        <f t="shared" si="18"/>
        <v>587.19000000000005</v>
      </c>
      <c r="Y119" s="3"/>
      <c r="Z119" s="7">
        <f t="shared" si="19"/>
        <v>1.914666753619408</v>
      </c>
    </row>
    <row r="120" spans="1:26" s="69" customFormat="1" ht="15" hidden="1" customHeight="1" outlineLevel="2" x14ac:dyDescent="0.3">
      <c r="A120" s="26"/>
      <c r="B120" s="12" t="str">
        <f>CONCATENATE("          ","6307"," - ","POSTAGE")</f>
        <v xml:space="preserve">          6307 - POSTAGE</v>
      </c>
      <c r="C120" s="12"/>
      <c r="D120" s="8"/>
      <c r="E120" s="3"/>
      <c r="F120" s="7">
        <f t="shared" ref="F120:F151" si="20">IF(D$12=0,0,D120/D$12)</f>
        <v>0</v>
      </c>
      <c r="G120" s="3"/>
      <c r="H120" s="8">
        <v>-14.15</v>
      </c>
      <c r="I120" s="3"/>
      <c r="J120" s="7">
        <f t="shared" ref="J120:J151" si="21">IF(H$12=0,0,H120/H$12)</f>
        <v>-1.1760774053421842E-4</v>
      </c>
      <c r="K120" s="3"/>
      <c r="L120" s="8">
        <f t="shared" ref="L120:L151" si="22">+D120-H120</f>
        <v>14.15</v>
      </c>
      <c r="M120" s="3"/>
      <c r="N120" s="7">
        <f t="shared" ref="N120:N151" si="23">IF(H120=0,0,L120/H120)</f>
        <v>-1</v>
      </c>
      <c r="O120" s="12"/>
      <c r="P120" s="8">
        <v>89.92</v>
      </c>
      <c r="Q120" s="3"/>
      <c r="R120" s="7">
        <f t="shared" ref="R120:R151" si="24">IF(P$12=0,0,P120/P$12)</f>
        <v>3.0789621307620491E-5</v>
      </c>
      <c r="S120" s="3"/>
      <c r="T120" s="8">
        <v>-20.149999999999999</v>
      </c>
      <c r="U120" s="3"/>
      <c r="V120" s="7">
        <f t="shared" ref="V120:V151" si="25">IF(T$12=0,0,T120/T$12)</f>
        <v>-1.5122631482574909E-5</v>
      </c>
      <c r="W120" s="3"/>
      <c r="X120" s="8">
        <f t="shared" ref="X120:X151" si="26">+P120-T120</f>
        <v>110.07</v>
      </c>
      <c r="Y120" s="3"/>
      <c r="Z120" s="7">
        <f t="shared" ref="Z120:Z151" si="27">IF(T120=0,0,X120/T120)</f>
        <v>-5.4625310173697272</v>
      </c>
    </row>
    <row r="121" spans="1:26" s="68" customFormat="1" ht="15" customHeight="1" outlineLevel="1" collapsed="1" x14ac:dyDescent="0.3">
      <c r="A121" s="25"/>
      <c r="B121" s="14" t="str">
        <f>CONCATENATE("     ","General                                           ")</f>
        <v xml:space="preserve">     General                                           </v>
      </c>
      <c r="C121" s="14"/>
      <c r="D121" s="2">
        <f>SUM(OSRRefD22_9x_0)</f>
        <v>1157.1099999999999</v>
      </c>
      <c r="E121" s="2"/>
      <c r="F121" s="6">
        <f t="shared" si="20"/>
        <v>2.0089432358905029E-3</v>
      </c>
      <c r="G121" s="2"/>
      <c r="H121" s="2">
        <f>SUM(OSRRefH22_9x_0)</f>
        <v>0</v>
      </c>
      <c r="I121" s="2"/>
      <c r="J121" s="6">
        <f t="shared" si="21"/>
        <v>0</v>
      </c>
      <c r="K121" s="2"/>
      <c r="L121" s="2">
        <f t="shared" si="22"/>
        <v>1157.1099999999999</v>
      </c>
      <c r="M121" s="2"/>
      <c r="N121" s="6">
        <f t="shared" si="23"/>
        <v>0</v>
      </c>
      <c r="O121" s="14"/>
      <c r="P121" s="2">
        <f>SUM(OSRRefP22_9x_0)</f>
        <v>2840.24</v>
      </c>
      <c r="Q121" s="2"/>
      <c r="R121" s="6">
        <f t="shared" si="24"/>
        <v>9.7253018263741115E-4</v>
      </c>
      <c r="S121" s="2"/>
      <c r="T121" s="2">
        <f>SUM(OSRRefT22_9x_0)</f>
        <v>2165.0100000000002</v>
      </c>
      <c r="U121" s="2"/>
      <c r="V121" s="6">
        <f t="shared" si="25"/>
        <v>1.6248460737513404E-3</v>
      </c>
      <c r="W121" s="2"/>
      <c r="X121" s="2">
        <f t="shared" si="26"/>
        <v>675.22999999999956</v>
      </c>
      <c r="Y121" s="2"/>
      <c r="Z121" s="6">
        <f t="shared" si="27"/>
        <v>0.31188308599036468</v>
      </c>
    </row>
    <row r="122" spans="1:26" s="69" customFormat="1" ht="15" hidden="1" customHeight="1" outlineLevel="2" x14ac:dyDescent="0.3">
      <c r="A122" s="26"/>
      <c r="B122" s="12" t="str">
        <f>CONCATENATE("          ","6279"," - ","GENERAL EXPENSE")</f>
        <v xml:space="preserve">          6279 - GENERAL EXPENSE</v>
      </c>
      <c r="C122" s="12"/>
      <c r="D122" s="8">
        <v>1157.1099999999999</v>
      </c>
      <c r="E122" s="3"/>
      <c r="F122" s="7">
        <f t="shared" si="20"/>
        <v>2.0089432358905029E-3</v>
      </c>
      <c r="G122" s="3"/>
      <c r="H122" s="8"/>
      <c r="I122" s="3"/>
      <c r="J122" s="7">
        <f t="shared" si="21"/>
        <v>0</v>
      </c>
      <c r="K122" s="3"/>
      <c r="L122" s="8">
        <f t="shared" si="22"/>
        <v>1157.1099999999999</v>
      </c>
      <c r="M122" s="3"/>
      <c r="N122" s="7">
        <f t="shared" si="23"/>
        <v>0</v>
      </c>
      <c r="O122" s="12"/>
      <c r="P122" s="8">
        <v>2840.24</v>
      </c>
      <c r="Q122" s="3"/>
      <c r="R122" s="7">
        <f t="shared" si="24"/>
        <v>9.7253018263741115E-4</v>
      </c>
      <c r="S122" s="3"/>
      <c r="T122" s="8">
        <v>2165.0100000000002</v>
      </c>
      <c r="U122" s="3"/>
      <c r="V122" s="7">
        <f t="shared" si="25"/>
        <v>1.6248460737513404E-3</v>
      </c>
      <c r="W122" s="3"/>
      <c r="X122" s="8">
        <f t="shared" si="26"/>
        <v>675.22999999999956</v>
      </c>
      <c r="Y122" s="3"/>
      <c r="Z122" s="7">
        <f t="shared" si="27"/>
        <v>0.31188308599036468</v>
      </c>
    </row>
    <row r="123" spans="1:26" s="68" customFormat="1" ht="15" customHeight="1" outlineLevel="1" collapsed="1" x14ac:dyDescent="0.3">
      <c r="A123" s="25"/>
      <c r="B123" s="14" t="str">
        <f>CONCATENATE("     ","Insurance                                         ")</f>
        <v xml:space="preserve">     Insurance                                         </v>
      </c>
      <c r="C123" s="14"/>
      <c r="D123" s="2">
        <f>SUM(OSRRefD22_10x_0)</f>
        <v>219.08</v>
      </c>
      <c r="E123" s="2"/>
      <c r="F123" s="6">
        <f t="shared" si="20"/>
        <v>3.8036079898963058E-4</v>
      </c>
      <c r="G123" s="2"/>
      <c r="H123" s="2">
        <f>SUM(OSRRefH22_10x_0)</f>
        <v>161.18</v>
      </c>
      <c r="I123" s="2"/>
      <c r="J123" s="6">
        <f t="shared" si="21"/>
        <v>1.3396477469473729E-3</v>
      </c>
      <c r="K123" s="2"/>
      <c r="L123" s="2">
        <f t="shared" si="22"/>
        <v>57.900000000000006</v>
      </c>
      <c r="M123" s="2"/>
      <c r="N123" s="6">
        <f t="shared" si="23"/>
        <v>0.35922571038590395</v>
      </c>
      <c r="O123" s="14"/>
      <c r="P123" s="2">
        <f>SUM(OSRRefP22_10x_0)</f>
        <v>1752.64</v>
      </c>
      <c r="Q123" s="2"/>
      <c r="R123" s="6">
        <f t="shared" si="24"/>
        <v>6.0012368648340727E-4</v>
      </c>
      <c r="S123" s="2"/>
      <c r="T123" s="2">
        <f>SUM(OSRRefT22_10x_0)</f>
        <v>1289.44</v>
      </c>
      <c r="U123" s="2"/>
      <c r="V123" s="6">
        <f t="shared" si="25"/>
        <v>9.677283344362974E-4</v>
      </c>
      <c r="W123" s="2"/>
      <c r="X123" s="2">
        <f t="shared" si="26"/>
        <v>463.20000000000005</v>
      </c>
      <c r="Y123" s="2"/>
      <c r="Z123" s="6">
        <f t="shared" si="27"/>
        <v>0.35922571038590395</v>
      </c>
    </row>
    <row r="124" spans="1:26" s="69" customFormat="1" ht="15" hidden="1" customHeight="1" outlineLevel="2" x14ac:dyDescent="0.3">
      <c r="A124" s="26"/>
      <c r="B124" s="12" t="str">
        <f>CONCATENATE("          ","6314"," - ","LIABILITY INSURANCE")</f>
        <v xml:space="preserve">          6314 - LIABILITY INSURANCE</v>
      </c>
      <c r="C124" s="12"/>
      <c r="D124" s="8">
        <v>219.08</v>
      </c>
      <c r="E124" s="3"/>
      <c r="F124" s="7">
        <f t="shared" si="20"/>
        <v>3.8036079898963058E-4</v>
      </c>
      <c r="G124" s="3"/>
      <c r="H124" s="8">
        <v>161.18</v>
      </c>
      <c r="I124" s="3"/>
      <c r="J124" s="7">
        <f t="shared" si="21"/>
        <v>1.3396477469473729E-3</v>
      </c>
      <c r="K124" s="3"/>
      <c r="L124" s="8">
        <f t="shared" si="22"/>
        <v>57.900000000000006</v>
      </c>
      <c r="M124" s="3"/>
      <c r="N124" s="7">
        <f t="shared" si="23"/>
        <v>0.35922571038590395</v>
      </c>
      <c r="O124" s="12"/>
      <c r="P124" s="8">
        <v>1752.64</v>
      </c>
      <c r="Q124" s="3"/>
      <c r="R124" s="7">
        <f t="shared" si="24"/>
        <v>6.0012368648340727E-4</v>
      </c>
      <c r="S124" s="3"/>
      <c r="T124" s="8">
        <v>1289.44</v>
      </c>
      <c r="U124" s="3"/>
      <c r="V124" s="7">
        <f t="shared" si="25"/>
        <v>9.677283344362974E-4</v>
      </c>
      <c r="W124" s="3"/>
      <c r="X124" s="8">
        <f t="shared" si="26"/>
        <v>463.20000000000005</v>
      </c>
      <c r="Y124" s="3"/>
      <c r="Z124" s="7">
        <f t="shared" si="27"/>
        <v>0.35922571038590395</v>
      </c>
    </row>
    <row r="125" spans="1:26" s="68" customFormat="1" ht="15" customHeight="1" outlineLevel="1" collapsed="1" x14ac:dyDescent="0.3">
      <c r="A125" s="25"/>
      <c r="B125" s="14" t="str">
        <f>CONCATENATE("     ","Inventory Adjustment                              ")</f>
        <v xml:space="preserve">     Inventory Adjustment                              </v>
      </c>
      <c r="C125" s="14"/>
      <c r="D125" s="2">
        <f>SUM(OSRRefD22_11x_0)</f>
        <v>4100</v>
      </c>
      <c r="E125" s="2"/>
      <c r="F125" s="6">
        <f t="shared" si="20"/>
        <v>7.1183096396635259E-3</v>
      </c>
      <c r="G125" s="2"/>
      <c r="H125" s="2">
        <f>SUM(OSRRefH22_11x_0)</f>
        <v>1100</v>
      </c>
      <c r="I125" s="2"/>
      <c r="J125" s="6">
        <f t="shared" si="21"/>
        <v>9.1426512076070859E-3</v>
      </c>
      <c r="K125" s="2"/>
      <c r="L125" s="2">
        <f t="shared" si="22"/>
        <v>3000</v>
      </c>
      <c r="M125" s="2"/>
      <c r="N125" s="6">
        <f t="shared" si="23"/>
        <v>2.7272727272727271</v>
      </c>
      <c r="O125" s="14"/>
      <c r="P125" s="2">
        <f>SUM(OSRRefP22_11x_0)</f>
        <v>32800</v>
      </c>
      <c r="Q125" s="2"/>
      <c r="R125" s="6">
        <f t="shared" si="24"/>
        <v>1.1231089622886478E-2</v>
      </c>
      <c r="S125" s="2"/>
      <c r="T125" s="2">
        <f>SUM(OSRRefT22_11x_0)</f>
        <v>8800</v>
      </c>
      <c r="U125" s="2"/>
      <c r="V125" s="6">
        <f t="shared" si="25"/>
        <v>6.6044246673280004E-3</v>
      </c>
      <c r="W125" s="2"/>
      <c r="X125" s="2">
        <f t="shared" si="26"/>
        <v>24000</v>
      </c>
      <c r="Y125" s="2"/>
      <c r="Z125" s="6">
        <f t="shared" si="27"/>
        <v>2.7272727272727271</v>
      </c>
    </row>
    <row r="126" spans="1:26" s="69" customFormat="1" ht="15" hidden="1" customHeight="1" outlineLevel="2" x14ac:dyDescent="0.3">
      <c r="A126" s="26"/>
      <c r="B126" s="12" t="str">
        <f>CONCATENATE("          ","6408"," - ","INVENTORY ADJUSTMENT")</f>
        <v xml:space="preserve">          6408 - INVENTORY ADJUSTMENT</v>
      </c>
      <c r="C126" s="12"/>
      <c r="D126" s="8">
        <v>4100</v>
      </c>
      <c r="E126" s="3"/>
      <c r="F126" s="7">
        <f t="shared" si="20"/>
        <v>7.1183096396635259E-3</v>
      </c>
      <c r="G126" s="3"/>
      <c r="H126" s="8">
        <v>1100</v>
      </c>
      <c r="I126" s="3"/>
      <c r="J126" s="7">
        <f t="shared" si="21"/>
        <v>9.1426512076070859E-3</v>
      </c>
      <c r="K126" s="3"/>
      <c r="L126" s="8">
        <f t="shared" si="22"/>
        <v>3000</v>
      </c>
      <c r="M126" s="3"/>
      <c r="N126" s="7">
        <f t="shared" si="23"/>
        <v>2.7272727272727271</v>
      </c>
      <c r="O126" s="12"/>
      <c r="P126" s="8">
        <v>32800</v>
      </c>
      <c r="Q126" s="3"/>
      <c r="R126" s="7">
        <f t="shared" si="24"/>
        <v>1.1231089622886478E-2</v>
      </c>
      <c r="S126" s="3"/>
      <c r="T126" s="8">
        <v>8800</v>
      </c>
      <c r="U126" s="3"/>
      <c r="V126" s="7">
        <f t="shared" si="25"/>
        <v>6.6044246673280004E-3</v>
      </c>
      <c r="W126" s="3"/>
      <c r="X126" s="8">
        <f t="shared" si="26"/>
        <v>24000</v>
      </c>
      <c r="Y126" s="3"/>
      <c r="Z126" s="7">
        <f t="shared" si="27"/>
        <v>2.7272727272727271</v>
      </c>
    </row>
    <row r="127" spans="1:26" s="69" customFormat="1" ht="15" hidden="1" customHeight="1" outlineLevel="2" x14ac:dyDescent="0.3">
      <c r="A127" s="26"/>
      <c r="B127" s="12" t="str">
        <f>CONCATENATE("          ","7741"," - ","INV. SHRINKAGE-LOGO GIFTS")</f>
        <v xml:space="preserve">          7741 - INV. SHRINKAGE-LOGO GIFTS</v>
      </c>
      <c r="C127" s="12"/>
      <c r="D127" s="8"/>
      <c r="E127" s="3"/>
      <c r="F127" s="7">
        <f t="shared" si="20"/>
        <v>0</v>
      </c>
      <c r="G127" s="3"/>
      <c r="H127" s="8"/>
      <c r="I127" s="3"/>
      <c r="J127" s="7">
        <f t="shared" si="21"/>
        <v>0</v>
      </c>
      <c r="K127" s="3"/>
      <c r="L127" s="8">
        <f t="shared" si="22"/>
        <v>0</v>
      </c>
      <c r="M127" s="3"/>
      <c r="N127" s="7">
        <f t="shared" si="23"/>
        <v>0</v>
      </c>
      <c r="O127" s="12"/>
      <c r="P127" s="8"/>
      <c r="Q127" s="3"/>
      <c r="R127" s="7">
        <f t="shared" si="24"/>
        <v>0</v>
      </c>
      <c r="S127" s="3"/>
      <c r="T127" s="8">
        <v>0</v>
      </c>
      <c r="U127" s="3"/>
      <c r="V127" s="7">
        <f t="shared" si="25"/>
        <v>0</v>
      </c>
      <c r="W127" s="3"/>
      <c r="X127" s="8">
        <f t="shared" si="26"/>
        <v>0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5"/>
      <c r="B128" s="14" t="str">
        <f>CONCATENATE("     ","Professional Services                             ")</f>
        <v xml:space="preserve">     Professional Services                             </v>
      </c>
      <c r="C128" s="14"/>
      <c r="D128" s="2">
        <f>SUM(OSRRefD22_12x_0)</f>
        <v>390</v>
      </c>
      <c r="E128" s="2"/>
      <c r="F128" s="6">
        <f t="shared" si="20"/>
        <v>6.7710750230945741E-4</v>
      </c>
      <c r="G128" s="2"/>
      <c r="H128" s="2">
        <f>SUM(OSRRefH22_12x_0)</f>
        <v>0</v>
      </c>
      <c r="I128" s="2"/>
      <c r="J128" s="6">
        <f t="shared" si="21"/>
        <v>0</v>
      </c>
      <c r="K128" s="2"/>
      <c r="L128" s="2">
        <f t="shared" si="22"/>
        <v>390</v>
      </c>
      <c r="M128" s="2"/>
      <c r="N128" s="6">
        <f t="shared" si="23"/>
        <v>0</v>
      </c>
      <c r="O128" s="14"/>
      <c r="P128" s="2">
        <f>SUM(OSRRefP22_12x_0)</f>
        <v>1059.0999999999999</v>
      </c>
      <c r="Q128" s="2"/>
      <c r="R128" s="6">
        <f t="shared" si="24"/>
        <v>3.6264777498777644E-4</v>
      </c>
      <c r="S128" s="2"/>
      <c r="T128" s="2">
        <f>SUM(OSRRefT22_12x_0)</f>
        <v>0</v>
      </c>
      <c r="U128" s="2"/>
      <c r="V128" s="6">
        <f t="shared" si="25"/>
        <v>0</v>
      </c>
      <c r="W128" s="2"/>
      <c r="X128" s="2">
        <f t="shared" si="26"/>
        <v>1059.0999999999999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6"/>
      <c r="B129" s="12" t="str">
        <f>CONCATENATE("          ","6336"," - ","PROFESSIONAL SERVICES")</f>
        <v xml:space="preserve">          6336 - PROFESSIONAL SERVICES</v>
      </c>
      <c r="C129" s="12"/>
      <c r="D129" s="8">
        <v>390</v>
      </c>
      <c r="E129" s="3"/>
      <c r="F129" s="7">
        <f t="shared" si="20"/>
        <v>6.7710750230945741E-4</v>
      </c>
      <c r="G129" s="3"/>
      <c r="H129" s="8"/>
      <c r="I129" s="3"/>
      <c r="J129" s="7">
        <f t="shared" si="21"/>
        <v>0</v>
      </c>
      <c r="K129" s="3"/>
      <c r="L129" s="8">
        <f t="shared" si="22"/>
        <v>390</v>
      </c>
      <c r="M129" s="3"/>
      <c r="N129" s="7">
        <f t="shared" si="23"/>
        <v>0</v>
      </c>
      <c r="O129" s="12"/>
      <c r="P129" s="8">
        <v>1059.0999999999999</v>
      </c>
      <c r="Q129" s="3"/>
      <c r="R129" s="7">
        <f t="shared" si="24"/>
        <v>3.6264777498777644E-4</v>
      </c>
      <c r="S129" s="3"/>
      <c r="T129" s="8"/>
      <c r="U129" s="3"/>
      <c r="V129" s="7">
        <f t="shared" si="25"/>
        <v>0</v>
      </c>
      <c r="W129" s="3"/>
      <c r="X129" s="8">
        <f t="shared" si="26"/>
        <v>1059.0999999999999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5"/>
      <c r="B130" s="14" t="str">
        <f>CONCATENATE("     ","Rent                                              ")</f>
        <v xml:space="preserve">     Rent                                              </v>
      </c>
      <c r="C130" s="14"/>
      <c r="D130" s="2">
        <f>SUM(OSRRefD22_13x_0)</f>
        <v>6900</v>
      </c>
      <c r="E130" s="2"/>
      <c r="F130" s="6">
        <f t="shared" si="20"/>
        <v>1.1979594271628861E-2</v>
      </c>
      <c r="G130" s="2"/>
      <c r="H130" s="2">
        <f>SUM(OSRRefH22_13x_0)</f>
        <v>6900</v>
      </c>
      <c r="I130" s="2"/>
      <c r="J130" s="6">
        <f t="shared" si="21"/>
        <v>5.73493575749899E-2</v>
      </c>
      <c r="K130" s="2"/>
      <c r="L130" s="2">
        <f t="shared" si="22"/>
        <v>0</v>
      </c>
      <c r="M130" s="2"/>
      <c r="N130" s="6">
        <f t="shared" si="23"/>
        <v>0</v>
      </c>
      <c r="O130" s="14"/>
      <c r="P130" s="2">
        <f>SUM(OSRRefP22_13x_0)</f>
        <v>55200</v>
      </c>
      <c r="Q130" s="2"/>
      <c r="R130" s="6">
        <f t="shared" si="24"/>
        <v>1.8901102048272365E-2</v>
      </c>
      <c r="S130" s="2"/>
      <c r="T130" s="2">
        <f>SUM(OSRRefT22_13x_0)</f>
        <v>55200</v>
      </c>
      <c r="U130" s="2"/>
      <c r="V130" s="6">
        <f t="shared" si="25"/>
        <v>4.1427754731421094E-2</v>
      </c>
      <c r="W130" s="2"/>
      <c r="X130" s="2">
        <f t="shared" si="26"/>
        <v>0</v>
      </c>
      <c r="Y130" s="2"/>
      <c r="Z130" s="6">
        <f t="shared" si="27"/>
        <v>0</v>
      </c>
    </row>
    <row r="131" spans="1:26" s="69" customFormat="1" ht="15" hidden="1" customHeight="1" outlineLevel="2" x14ac:dyDescent="0.3">
      <c r="A131" s="26"/>
      <c r="B131" s="12" t="str">
        <f>CONCATENATE("          ","6273"," - ","RENT")</f>
        <v xml:space="preserve">          6273 - RENT</v>
      </c>
      <c r="C131" s="12"/>
      <c r="D131" s="8">
        <v>6900</v>
      </c>
      <c r="E131" s="3"/>
      <c r="F131" s="7">
        <f t="shared" si="20"/>
        <v>1.1979594271628861E-2</v>
      </c>
      <c r="G131" s="3"/>
      <c r="H131" s="8">
        <v>6900</v>
      </c>
      <c r="I131" s="3"/>
      <c r="J131" s="7">
        <f t="shared" si="21"/>
        <v>5.73493575749899E-2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>
        <v>55200</v>
      </c>
      <c r="Q131" s="3"/>
      <c r="R131" s="7">
        <f t="shared" si="24"/>
        <v>1.8901102048272365E-2</v>
      </c>
      <c r="S131" s="3"/>
      <c r="T131" s="8">
        <v>55200</v>
      </c>
      <c r="U131" s="3"/>
      <c r="V131" s="7">
        <f t="shared" si="25"/>
        <v>4.1427754731421094E-2</v>
      </c>
      <c r="W131" s="3"/>
      <c r="X131" s="8">
        <f t="shared" si="26"/>
        <v>0</v>
      </c>
      <c r="Y131" s="3"/>
      <c r="Z131" s="7">
        <f t="shared" si="27"/>
        <v>0</v>
      </c>
    </row>
    <row r="132" spans="1:26" s="68" customFormat="1" ht="15" customHeight="1" outlineLevel="1" collapsed="1" x14ac:dyDescent="0.3">
      <c r="A132" s="25"/>
      <c r="B132" s="14" t="str">
        <f>CONCATENATE("     ","Repair and Maintenance                            ")</f>
        <v xml:space="preserve">     Repair and Maintenance                            </v>
      </c>
      <c r="C132" s="14"/>
      <c r="D132" s="2">
        <f>SUM(OSRRefD22_14x_0)</f>
        <v>20.29</v>
      </c>
      <c r="E132" s="2"/>
      <c r="F132" s="6">
        <f t="shared" si="20"/>
        <v>3.5226951850920231E-5</v>
      </c>
      <c r="G132" s="2"/>
      <c r="H132" s="2">
        <f>SUM(OSRRefH22_14x_0)</f>
        <v>-0.52</v>
      </c>
      <c r="I132" s="2"/>
      <c r="J132" s="6">
        <f t="shared" si="21"/>
        <v>-4.3219805708688041E-6</v>
      </c>
      <c r="K132" s="2"/>
      <c r="L132" s="2">
        <f t="shared" si="22"/>
        <v>20.81</v>
      </c>
      <c r="M132" s="2"/>
      <c r="N132" s="6">
        <f t="shared" si="23"/>
        <v>-40.019230769230766</v>
      </c>
      <c r="O132" s="14"/>
      <c r="P132" s="2">
        <f>SUM(OSRRefP22_14x_0)</f>
        <v>3374.6099999999997</v>
      </c>
      <c r="Q132" s="2"/>
      <c r="R132" s="6">
        <f t="shared" si="24"/>
        <v>1.1555044924478333E-3</v>
      </c>
      <c r="S132" s="2"/>
      <c r="T132" s="2">
        <f>SUM(OSRRefT22_14x_0)</f>
        <v>296.74</v>
      </c>
      <c r="U132" s="2"/>
      <c r="V132" s="6">
        <f t="shared" si="25"/>
        <v>2.2270420179351262E-4</v>
      </c>
      <c r="W132" s="2"/>
      <c r="X132" s="2">
        <f t="shared" si="26"/>
        <v>3077.87</v>
      </c>
      <c r="Y132" s="2"/>
      <c r="Z132" s="6">
        <f t="shared" si="27"/>
        <v>10.372278762553076</v>
      </c>
    </row>
    <row r="133" spans="1:26" s="69" customFormat="1" ht="15" hidden="1" customHeight="1" outlineLevel="2" x14ac:dyDescent="0.3">
      <c r="A133" s="26"/>
      <c r="B133" s="12" t="str">
        <f>CONCATENATE("          ","6372"," - ","COMPUTER HARDWARE MAINTENANCE")</f>
        <v xml:space="preserve">          6372 - COMPUTER HARDWARE MAINTENANCE</v>
      </c>
      <c r="C133" s="12"/>
      <c r="D133" s="8"/>
      <c r="E133" s="3"/>
      <c r="F133" s="7">
        <f t="shared" si="20"/>
        <v>0</v>
      </c>
      <c r="G133" s="3"/>
      <c r="H133" s="8">
        <v>-0.52</v>
      </c>
      <c r="I133" s="3"/>
      <c r="J133" s="7">
        <f t="shared" si="21"/>
        <v>-4.3219805708688041E-6</v>
      </c>
      <c r="K133" s="3"/>
      <c r="L133" s="8">
        <f t="shared" si="22"/>
        <v>0.52</v>
      </c>
      <c r="M133" s="3"/>
      <c r="N133" s="7">
        <f t="shared" si="23"/>
        <v>-1</v>
      </c>
      <c r="O133" s="12"/>
      <c r="P133" s="8"/>
      <c r="Q133" s="3"/>
      <c r="R133" s="7">
        <f t="shared" si="24"/>
        <v>0</v>
      </c>
      <c r="S133" s="3"/>
      <c r="T133" s="8">
        <v>-0.52</v>
      </c>
      <c r="U133" s="3"/>
      <c r="V133" s="7">
        <f t="shared" si="25"/>
        <v>-3.9026145761483643E-7</v>
      </c>
      <c r="W133" s="3"/>
      <c r="X133" s="8">
        <f t="shared" si="26"/>
        <v>0.52</v>
      </c>
      <c r="Y133" s="3"/>
      <c r="Z133" s="7">
        <f t="shared" si="27"/>
        <v>-1</v>
      </c>
    </row>
    <row r="134" spans="1:26" s="69" customFormat="1" ht="15" hidden="1" customHeight="1" outlineLevel="2" x14ac:dyDescent="0.3">
      <c r="A134" s="26"/>
      <c r="B134" s="12" t="str">
        <f>CONCATENATE("          ","6373"," - ","MAINTENANCE CONTRACTS")</f>
        <v xml:space="preserve">          6373 - MAINTENANCE CONTRACTS</v>
      </c>
      <c r="C134" s="12"/>
      <c r="D134" s="8">
        <v>12.04</v>
      </c>
      <c r="E134" s="3"/>
      <c r="F134" s="7">
        <f t="shared" si="20"/>
        <v>2.090352391745094E-5</v>
      </c>
      <c r="G134" s="3"/>
      <c r="H134" s="8"/>
      <c r="I134" s="3"/>
      <c r="J134" s="7">
        <f t="shared" si="21"/>
        <v>0</v>
      </c>
      <c r="K134" s="3"/>
      <c r="L134" s="8">
        <f t="shared" si="22"/>
        <v>12.04</v>
      </c>
      <c r="M134" s="3"/>
      <c r="N134" s="7">
        <f t="shared" si="23"/>
        <v>0</v>
      </c>
      <c r="O134" s="12"/>
      <c r="P134" s="8">
        <v>681.74</v>
      </c>
      <c r="Q134" s="3"/>
      <c r="R134" s="7">
        <f t="shared" si="24"/>
        <v>2.334354585215435E-4</v>
      </c>
      <c r="S134" s="3"/>
      <c r="T134" s="8">
        <v>297.26</v>
      </c>
      <c r="U134" s="3"/>
      <c r="V134" s="7">
        <f t="shared" si="25"/>
        <v>2.2309446325112744E-4</v>
      </c>
      <c r="W134" s="3"/>
      <c r="X134" s="8">
        <f t="shared" si="26"/>
        <v>384.48</v>
      </c>
      <c r="Y134" s="3"/>
      <c r="Z134" s="7">
        <f t="shared" si="27"/>
        <v>1.2934131736526948</v>
      </c>
    </row>
    <row r="135" spans="1:26" s="69" customFormat="1" ht="15" hidden="1" customHeight="1" outlineLevel="2" x14ac:dyDescent="0.3">
      <c r="A135" s="26"/>
      <c r="B135" s="12" t="str">
        <f>CONCATENATE("          ","6375"," - ","OUTSIDE REPAIRS &amp; MAINTENANCE")</f>
        <v xml:space="preserve">          6375 - OUTSIDE REPAIRS &amp; MAINTENANCE</v>
      </c>
      <c r="C135" s="12"/>
      <c r="D135" s="8">
        <v>8.25</v>
      </c>
      <c r="E135" s="3"/>
      <c r="F135" s="7">
        <f t="shared" si="20"/>
        <v>1.432342793346929E-5</v>
      </c>
      <c r="G135" s="3"/>
      <c r="H135" s="8"/>
      <c r="I135" s="3"/>
      <c r="J135" s="7">
        <f t="shared" si="21"/>
        <v>0</v>
      </c>
      <c r="K135" s="3"/>
      <c r="L135" s="8">
        <f t="shared" si="22"/>
        <v>8.25</v>
      </c>
      <c r="M135" s="3"/>
      <c r="N135" s="7">
        <f t="shared" si="23"/>
        <v>0</v>
      </c>
      <c r="O135" s="12"/>
      <c r="P135" s="8">
        <v>2692.87</v>
      </c>
      <c r="Q135" s="3"/>
      <c r="R135" s="7">
        <f t="shared" si="24"/>
        <v>9.2206903392628981E-4</v>
      </c>
      <c r="S135" s="3"/>
      <c r="T135" s="8"/>
      <c r="U135" s="3"/>
      <c r="V135" s="7">
        <f t="shared" si="25"/>
        <v>0</v>
      </c>
      <c r="W135" s="3"/>
      <c r="X135" s="8">
        <f t="shared" si="26"/>
        <v>2692.87</v>
      </c>
      <c r="Y135" s="3"/>
      <c r="Z135" s="7">
        <f t="shared" si="27"/>
        <v>0</v>
      </c>
    </row>
    <row r="136" spans="1:26" s="68" customFormat="1" ht="15" customHeight="1" outlineLevel="1" collapsed="1" x14ac:dyDescent="0.3">
      <c r="A136" s="25"/>
      <c r="B136" s="14" t="str">
        <f>CONCATENATE("     ","Royalty &amp; Commissions                             ")</f>
        <v xml:space="preserve">     Royalty &amp; Commissions                             </v>
      </c>
      <c r="C136" s="14"/>
      <c r="D136" s="2">
        <f>SUM(OSRRefD22_15x_0)</f>
        <v>3147.46</v>
      </c>
      <c r="E136" s="2"/>
      <c r="F136" s="6">
        <f t="shared" si="20"/>
        <v>5.4645353313305762E-3</v>
      </c>
      <c r="G136" s="2"/>
      <c r="H136" s="2">
        <f>SUM(OSRRefH22_15x_0)</f>
        <v>0</v>
      </c>
      <c r="I136" s="2"/>
      <c r="J136" s="6">
        <f t="shared" si="21"/>
        <v>0</v>
      </c>
      <c r="K136" s="2"/>
      <c r="L136" s="2">
        <f t="shared" si="22"/>
        <v>3147.46</v>
      </c>
      <c r="M136" s="2"/>
      <c r="N136" s="6">
        <f t="shared" si="23"/>
        <v>0</v>
      </c>
      <c r="O136" s="14"/>
      <c r="P136" s="2">
        <f>SUM(OSRRefP22_15x_0)</f>
        <v>42730.310000000005</v>
      </c>
      <c r="Q136" s="2"/>
      <c r="R136" s="6">
        <f t="shared" si="24"/>
        <v>1.4631339671454949E-2</v>
      </c>
      <c r="S136" s="2"/>
      <c r="T136" s="2">
        <f>SUM(OSRRefT22_15x_0)</f>
        <v>26197.58</v>
      </c>
      <c r="U136" s="2"/>
      <c r="V136" s="6">
        <f t="shared" si="25"/>
        <v>1.9661357224579398E-2</v>
      </c>
      <c r="W136" s="2"/>
      <c r="X136" s="2">
        <f t="shared" si="26"/>
        <v>16532.730000000003</v>
      </c>
      <c r="Y136" s="2"/>
      <c r="Z136" s="6">
        <f t="shared" si="27"/>
        <v>0.63107851946630189</v>
      </c>
    </row>
    <row r="137" spans="1:26" s="69" customFormat="1" ht="15" hidden="1" customHeight="1" outlineLevel="2" x14ac:dyDescent="0.3">
      <c r="A137" s="26"/>
      <c r="B137" s="12" t="str">
        <f>CONCATENATE("          ","6253"," - ","ROYALTY DUE ATHLETICS-LRG")</f>
        <v xml:space="preserve">          6253 - ROYALTY DUE ATHLETICS-LRG</v>
      </c>
      <c r="C137" s="12"/>
      <c r="D137" s="8"/>
      <c r="E137" s="3"/>
      <c r="F137" s="7">
        <f t="shared" si="20"/>
        <v>0</v>
      </c>
      <c r="G137" s="3"/>
      <c r="H137" s="8"/>
      <c r="I137" s="3"/>
      <c r="J137" s="7">
        <f t="shared" si="21"/>
        <v>0</v>
      </c>
      <c r="K137" s="3"/>
      <c r="L137" s="8">
        <f t="shared" si="22"/>
        <v>0</v>
      </c>
      <c r="M137" s="3"/>
      <c r="N137" s="7">
        <f t="shared" si="23"/>
        <v>0</v>
      </c>
      <c r="O137" s="12"/>
      <c r="P137" s="8">
        <v>39221.160000000003</v>
      </c>
      <c r="Q137" s="3"/>
      <c r="R137" s="7">
        <f t="shared" si="24"/>
        <v>1.3429767166877141E-2</v>
      </c>
      <c r="S137" s="3"/>
      <c r="T137" s="8">
        <v>26197.58</v>
      </c>
      <c r="U137" s="3"/>
      <c r="V137" s="7">
        <f t="shared" si="25"/>
        <v>1.9661357224579398E-2</v>
      </c>
      <c r="W137" s="3"/>
      <c r="X137" s="8">
        <f t="shared" si="26"/>
        <v>13023.580000000002</v>
      </c>
      <c r="Y137" s="3"/>
      <c r="Z137" s="7">
        <f t="shared" si="27"/>
        <v>0.49712912414047405</v>
      </c>
    </row>
    <row r="138" spans="1:26" s="69" customFormat="1" ht="15" hidden="1" customHeight="1" outlineLevel="2" x14ac:dyDescent="0.3">
      <c r="A138" s="26"/>
      <c r="B138" s="12" t="str">
        <f>CONCATENATE("          ","6254"," - ","ROYALTY &amp; COMMISSIONS")</f>
        <v xml:space="preserve">          6254 - ROYALTY &amp; COMMISSIONS</v>
      </c>
      <c r="C138" s="12"/>
      <c r="D138" s="8">
        <v>3147.46</v>
      </c>
      <c r="E138" s="3"/>
      <c r="F138" s="7">
        <f t="shared" si="20"/>
        <v>5.4645353313305762E-3</v>
      </c>
      <c r="G138" s="3"/>
      <c r="H138" s="8"/>
      <c r="I138" s="3"/>
      <c r="J138" s="7">
        <f t="shared" si="21"/>
        <v>0</v>
      </c>
      <c r="K138" s="3"/>
      <c r="L138" s="8">
        <f t="shared" si="22"/>
        <v>3147.46</v>
      </c>
      <c r="M138" s="3"/>
      <c r="N138" s="7">
        <f t="shared" si="23"/>
        <v>0</v>
      </c>
      <c r="O138" s="12"/>
      <c r="P138" s="8">
        <v>3509.15</v>
      </c>
      <c r="Q138" s="3"/>
      <c r="R138" s="7">
        <f t="shared" si="24"/>
        <v>1.2015725045778074E-3</v>
      </c>
      <c r="S138" s="3"/>
      <c r="T138" s="8"/>
      <c r="U138" s="3"/>
      <c r="V138" s="7">
        <f t="shared" si="25"/>
        <v>0</v>
      </c>
      <c r="W138" s="3"/>
      <c r="X138" s="8">
        <f t="shared" si="26"/>
        <v>3509.15</v>
      </c>
      <c r="Y138" s="3"/>
      <c r="Z138" s="7">
        <f t="shared" si="27"/>
        <v>0</v>
      </c>
    </row>
    <row r="139" spans="1:26" s="68" customFormat="1" ht="15" customHeight="1" outlineLevel="1" collapsed="1" x14ac:dyDescent="0.3">
      <c r="A139" s="25"/>
      <c r="B139" s="14" t="str">
        <f>CONCATENATE("     ","Services                                          ")</f>
        <v xml:space="preserve">     Services                                          </v>
      </c>
      <c r="C139" s="14"/>
      <c r="D139" s="2">
        <f>SUM(OSRRefD22_16x_0)</f>
        <v>428.26</v>
      </c>
      <c r="E139" s="2"/>
      <c r="F139" s="6">
        <f t="shared" si="20"/>
        <v>7.4353348445909794E-4</v>
      </c>
      <c r="G139" s="2"/>
      <c r="H139" s="2">
        <f>SUM(OSRRefH22_16x_0)</f>
        <v>81.84</v>
      </c>
      <c r="I139" s="2"/>
      <c r="J139" s="6">
        <f t="shared" si="21"/>
        <v>6.802132498459672E-4</v>
      </c>
      <c r="K139" s="2"/>
      <c r="L139" s="2">
        <f t="shared" si="22"/>
        <v>346.41999999999996</v>
      </c>
      <c r="M139" s="2"/>
      <c r="N139" s="6">
        <f t="shared" si="23"/>
        <v>4.2328934506353857</v>
      </c>
      <c r="O139" s="14"/>
      <c r="P139" s="2">
        <f>SUM(OSRRefP22_16x_0)</f>
        <v>5285.39</v>
      </c>
      <c r="Q139" s="2"/>
      <c r="R139" s="6">
        <f t="shared" si="24"/>
        <v>1.8097770970093891E-3</v>
      </c>
      <c r="S139" s="2"/>
      <c r="T139" s="2">
        <f>SUM(OSRRefT22_16x_0)</f>
        <v>374.99999999999989</v>
      </c>
      <c r="U139" s="2"/>
      <c r="V139" s="6">
        <f t="shared" si="25"/>
        <v>2.8143855116454538E-4</v>
      </c>
      <c r="W139" s="2"/>
      <c r="X139" s="2">
        <f t="shared" si="26"/>
        <v>4910.3900000000003</v>
      </c>
      <c r="Y139" s="2"/>
      <c r="Z139" s="6">
        <f t="shared" si="27"/>
        <v>13.094373333333339</v>
      </c>
    </row>
    <row r="140" spans="1:26" s="69" customFormat="1" ht="15" hidden="1" customHeight="1" outlineLevel="2" x14ac:dyDescent="0.3">
      <c r="A140" s="26"/>
      <c r="B140" s="12" t="str">
        <f>CONCATENATE("          ","6282"," - ","JANITORIAL/EXTERMINATOR EXPENS")</f>
        <v xml:space="preserve">          6282 - JANITORIAL/EXTERMINATOR EXPENS</v>
      </c>
      <c r="C140" s="12"/>
      <c r="D140" s="8">
        <v>69</v>
      </c>
      <c r="E140" s="3"/>
      <c r="F140" s="7">
        <f t="shared" si="20"/>
        <v>1.1979594271628861E-4</v>
      </c>
      <c r="G140" s="3"/>
      <c r="H140" s="8"/>
      <c r="I140" s="3"/>
      <c r="J140" s="7">
        <f t="shared" si="21"/>
        <v>0</v>
      </c>
      <c r="K140" s="3"/>
      <c r="L140" s="8">
        <f t="shared" si="22"/>
        <v>69</v>
      </c>
      <c r="M140" s="3"/>
      <c r="N140" s="7">
        <f t="shared" si="23"/>
        <v>0</v>
      </c>
      <c r="O140" s="12"/>
      <c r="P140" s="8">
        <v>767.6</v>
      </c>
      <c r="Q140" s="3"/>
      <c r="R140" s="7">
        <f t="shared" si="24"/>
        <v>2.6283489007706282E-4</v>
      </c>
      <c r="S140" s="3"/>
      <c r="T140" s="8">
        <v>176</v>
      </c>
      <c r="U140" s="3"/>
      <c r="V140" s="7">
        <f t="shared" si="25"/>
        <v>1.3208849334656002E-4</v>
      </c>
      <c r="W140" s="3"/>
      <c r="X140" s="8">
        <f t="shared" si="26"/>
        <v>591.6</v>
      </c>
      <c r="Y140" s="3"/>
      <c r="Z140" s="7">
        <f t="shared" si="27"/>
        <v>3.3613636363636363</v>
      </c>
    </row>
    <row r="141" spans="1:26" s="69" customFormat="1" ht="15" hidden="1" customHeight="1" outlineLevel="2" x14ac:dyDescent="0.3">
      <c r="A141" s="26"/>
      <c r="B141" s="12" t="str">
        <f>CONCATENATE("          ","6283"," - ","PLANT SERVICE")</f>
        <v xml:space="preserve">          6283 - PLANT SERVICE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/>
      <c r="Q141" s="3"/>
      <c r="R141" s="7">
        <f t="shared" si="24"/>
        <v>0</v>
      </c>
      <c r="S141" s="3"/>
      <c r="T141" s="8">
        <v>41.31</v>
      </c>
      <c r="U141" s="3"/>
      <c r="V141" s="7">
        <f t="shared" si="25"/>
        <v>3.1003270796286329E-5</v>
      </c>
      <c r="W141" s="3"/>
      <c r="X141" s="8">
        <f t="shared" si="26"/>
        <v>-41.31</v>
      </c>
      <c r="Y141" s="3"/>
      <c r="Z141" s="7">
        <f t="shared" si="27"/>
        <v>-1</v>
      </c>
    </row>
    <row r="142" spans="1:26" s="69" customFormat="1" ht="15" hidden="1" customHeight="1" outlineLevel="2" x14ac:dyDescent="0.3">
      <c r="A142" s="26"/>
      <c r="B142" s="12" t="str">
        <f>CONCATENATE("          ","6284"," - ","TRASH REMOVAL EXPENSE")</f>
        <v xml:space="preserve">          6284 - TRASH REMOVAL EXPENSE</v>
      </c>
      <c r="C142" s="12"/>
      <c r="D142" s="8">
        <v>149.69999999999999</v>
      </c>
      <c r="E142" s="3"/>
      <c r="F142" s="7">
        <f t="shared" si="20"/>
        <v>2.5990511050186092E-4</v>
      </c>
      <c r="G142" s="3"/>
      <c r="H142" s="8">
        <v>142.57</v>
      </c>
      <c r="I142" s="3"/>
      <c r="J142" s="7">
        <f t="shared" si="21"/>
        <v>1.1849707115168565E-3</v>
      </c>
      <c r="K142" s="3"/>
      <c r="L142" s="8">
        <f t="shared" si="22"/>
        <v>7.1299999999999955</v>
      </c>
      <c r="M142" s="3"/>
      <c r="N142" s="7">
        <f t="shared" si="23"/>
        <v>5.0010521147506461E-2</v>
      </c>
      <c r="O142" s="12"/>
      <c r="P142" s="8">
        <v>1190.47</v>
      </c>
      <c r="Q142" s="3"/>
      <c r="R142" s="7">
        <f t="shared" si="24"/>
        <v>4.0763034339505076E-4</v>
      </c>
      <c r="S142" s="3"/>
      <c r="T142" s="8">
        <v>1155.58</v>
      </c>
      <c r="U142" s="3"/>
      <c r="V142" s="7">
        <f t="shared" si="25"/>
        <v>8.672660292126012E-4</v>
      </c>
      <c r="W142" s="3"/>
      <c r="X142" s="8">
        <f t="shared" si="26"/>
        <v>34.8900000000001</v>
      </c>
      <c r="Y142" s="3"/>
      <c r="Z142" s="7">
        <f t="shared" si="27"/>
        <v>3.0192630540507887E-2</v>
      </c>
    </row>
    <row r="143" spans="1:26" s="69" customFormat="1" ht="15" hidden="1" customHeight="1" outlineLevel="2" x14ac:dyDescent="0.3">
      <c r="A143" s="26"/>
      <c r="B143" s="12" t="str">
        <f>CONCATENATE("          ","6285"," - ","JANITORIAL SERVICES")</f>
        <v xml:space="preserve">          6285 - JANITORIAL SERVICES</v>
      </c>
      <c r="C143" s="12"/>
      <c r="D143" s="8">
        <v>209.56</v>
      </c>
      <c r="E143" s="3"/>
      <c r="F143" s="7">
        <f t="shared" si="20"/>
        <v>3.6383243124094841E-4</v>
      </c>
      <c r="G143" s="3"/>
      <c r="H143" s="8">
        <v>-60.73</v>
      </c>
      <c r="I143" s="3"/>
      <c r="J143" s="7">
        <f t="shared" si="21"/>
        <v>-5.0475746167088934E-4</v>
      </c>
      <c r="K143" s="3"/>
      <c r="L143" s="8">
        <f t="shared" si="22"/>
        <v>270.29000000000002</v>
      </c>
      <c r="M143" s="3"/>
      <c r="N143" s="7">
        <f t="shared" si="23"/>
        <v>-4.4506833525440479</v>
      </c>
      <c r="O143" s="12"/>
      <c r="P143" s="8">
        <v>3327.32</v>
      </c>
      <c r="Q143" s="3"/>
      <c r="R143" s="7">
        <f t="shared" si="24"/>
        <v>1.1393118635372756E-3</v>
      </c>
      <c r="S143" s="3"/>
      <c r="T143" s="8">
        <v>-997.89</v>
      </c>
      <c r="U143" s="3"/>
      <c r="V143" s="7">
        <f t="shared" si="25"/>
        <v>-7.4891924219090212E-4</v>
      </c>
      <c r="W143" s="3"/>
      <c r="X143" s="8">
        <f t="shared" si="26"/>
        <v>4325.21</v>
      </c>
      <c r="Y143" s="3"/>
      <c r="Z143" s="7">
        <f t="shared" si="27"/>
        <v>-4.3343554900840777</v>
      </c>
    </row>
    <row r="144" spans="1:26" s="68" customFormat="1" ht="15" customHeight="1" outlineLevel="1" collapsed="1" x14ac:dyDescent="0.3">
      <c r="A144" s="25"/>
      <c r="B144" s="14" t="str">
        <f>CONCATENATE("     ","Subscriptions &amp; Dues                              ")</f>
        <v xml:space="preserve">     Subscriptions &amp; Dues                              </v>
      </c>
      <c r="C144" s="14"/>
      <c r="D144" s="2">
        <f>SUM(OSRRefD22_17x_0)</f>
        <v>45.27</v>
      </c>
      <c r="E144" s="2"/>
      <c r="F144" s="6">
        <f t="shared" si="20"/>
        <v>7.8596555460382406E-5</v>
      </c>
      <c r="G144" s="2"/>
      <c r="H144" s="2">
        <f>SUM(OSRRefH22_17x_0)</f>
        <v>0</v>
      </c>
      <c r="I144" s="2"/>
      <c r="J144" s="6">
        <f t="shared" si="21"/>
        <v>0</v>
      </c>
      <c r="K144" s="2"/>
      <c r="L144" s="2">
        <f t="shared" si="22"/>
        <v>45.27</v>
      </c>
      <c r="M144" s="2"/>
      <c r="N144" s="6">
        <f t="shared" si="23"/>
        <v>0</v>
      </c>
      <c r="O144" s="14"/>
      <c r="P144" s="2">
        <f>SUM(OSRRefP22_17x_0)</f>
        <v>45.27</v>
      </c>
      <c r="Q144" s="2"/>
      <c r="R144" s="6">
        <f t="shared" si="24"/>
        <v>1.5500958147197282E-5</v>
      </c>
      <c r="S144" s="2"/>
      <c r="T144" s="2">
        <f>SUM(OSRRefT22_17x_0)</f>
        <v>-67.299999999999955</v>
      </c>
      <c r="U144" s="2"/>
      <c r="V144" s="6">
        <f t="shared" si="25"/>
        <v>-5.0508838648997062E-5</v>
      </c>
      <c r="W144" s="2"/>
      <c r="X144" s="2">
        <f t="shared" si="26"/>
        <v>112.56999999999996</v>
      </c>
      <c r="Y144" s="2"/>
      <c r="Z144" s="6">
        <f t="shared" si="27"/>
        <v>-1.6726597325408623</v>
      </c>
    </row>
    <row r="145" spans="1:26" s="69" customFormat="1" ht="15" hidden="1" customHeight="1" outlineLevel="2" x14ac:dyDescent="0.3">
      <c r="A145" s="26"/>
      <c r="B145" s="12" t="str">
        <f>CONCATENATE("          ","6258"," - ","MEMBERSHIP DUES")</f>
        <v xml:space="preserve">          6258 - MEMBERSHIP DUES</v>
      </c>
      <c r="C145" s="12"/>
      <c r="D145" s="8">
        <v>45.27</v>
      </c>
      <c r="E145" s="3"/>
      <c r="F145" s="7">
        <f t="shared" si="20"/>
        <v>7.8596555460382406E-5</v>
      </c>
      <c r="G145" s="3"/>
      <c r="H145" s="8"/>
      <c r="I145" s="3"/>
      <c r="J145" s="7">
        <f t="shared" si="21"/>
        <v>0</v>
      </c>
      <c r="K145" s="3"/>
      <c r="L145" s="8">
        <f t="shared" si="22"/>
        <v>45.27</v>
      </c>
      <c r="M145" s="3"/>
      <c r="N145" s="7">
        <f t="shared" si="23"/>
        <v>0</v>
      </c>
      <c r="O145" s="12"/>
      <c r="P145" s="8">
        <v>45.27</v>
      </c>
      <c r="Q145" s="3"/>
      <c r="R145" s="7">
        <f t="shared" si="24"/>
        <v>1.5500958147197282E-5</v>
      </c>
      <c r="S145" s="3"/>
      <c r="T145" s="8">
        <v>-368.03</v>
      </c>
      <c r="U145" s="3"/>
      <c r="V145" s="7">
        <f t="shared" si="25"/>
        <v>-2.7620754662690042E-4</v>
      </c>
      <c r="W145" s="3"/>
      <c r="X145" s="8">
        <f t="shared" si="26"/>
        <v>413.29999999999995</v>
      </c>
      <c r="Y145" s="3"/>
      <c r="Z145" s="7">
        <f t="shared" si="27"/>
        <v>-1.1230062766622286</v>
      </c>
    </row>
    <row r="146" spans="1:26" s="69" customFormat="1" ht="15" hidden="1" customHeight="1" outlineLevel="2" x14ac:dyDescent="0.3">
      <c r="A146" s="26"/>
      <c r="B146" s="12" t="str">
        <f>CONCATENATE("          ","6275"," - ","SUBSCRIPTIONS")</f>
        <v xml:space="preserve">          6275 - SUBSCRIPTIONS</v>
      </c>
      <c r="C146" s="12"/>
      <c r="D146" s="8"/>
      <c r="E146" s="3"/>
      <c r="F146" s="7">
        <f t="shared" si="20"/>
        <v>0</v>
      </c>
      <c r="G146" s="3"/>
      <c r="H146" s="8"/>
      <c r="I146" s="3"/>
      <c r="J146" s="7">
        <f t="shared" si="21"/>
        <v>0</v>
      </c>
      <c r="K146" s="3"/>
      <c r="L146" s="8">
        <f t="shared" si="22"/>
        <v>0</v>
      </c>
      <c r="M146" s="3"/>
      <c r="N146" s="7">
        <f t="shared" si="23"/>
        <v>0</v>
      </c>
      <c r="O146" s="12"/>
      <c r="P146" s="8"/>
      <c r="Q146" s="3"/>
      <c r="R146" s="7">
        <f t="shared" si="24"/>
        <v>0</v>
      </c>
      <c r="S146" s="3"/>
      <c r="T146" s="8">
        <v>300.73</v>
      </c>
      <c r="U146" s="3"/>
      <c r="V146" s="7">
        <f t="shared" si="25"/>
        <v>2.2569870797790339E-4</v>
      </c>
      <c r="W146" s="3"/>
      <c r="X146" s="8">
        <f t="shared" si="26"/>
        <v>-300.73</v>
      </c>
      <c r="Y146" s="3"/>
      <c r="Z146" s="7">
        <f t="shared" si="27"/>
        <v>-1</v>
      </c>
    </row>
    <row r="147" spans="1:26" s="68" customFormat="1" ht="15" customHeight="1" outlineLevel="1" collapsed="1" x14ac:dyDescent="0.3">
      <c r="A147" s="25"/>
      <c r="B147" s="14" t="str">
        <f>CONCATENATE("     ","Supplies                                          ")</f>
        <v xml:space="preserve">     Supplies                                          </v>
      </c>
      <c r="C147" s="14"/>
      <c r="D147" s="2">
        <f>SUM(OSRRefD22_18x_0)</f>
        <v>473.25</v>
      </c>
      <c r="E147" s="2"/>
      <c r="F147" s="6">
        <f t="shared" si="20"/>
        <v>8.2164391145628387E-4</v>
      </c>
      <c r="G147" s="2"/>
      <c r="H147" s="2">
        <f>SUM(OSRRefH22_18x_0)</f>
        <v>71.62</v>
      </c>
      <c r="I147" s="2"/>
      <c r="J147" s="6">
        <f t="shared" si="21"/>
        <v>5.9526970862619954E-4</v>
      </c>
      <c r="K147" s="2"/>
      <c r="L147" s="2">
        <f t="shared" si="22"/>
        <v>401.63</v>
      </c>
      <c r="M147" s="2"/>
      <c r="N147" s="6">
        <f t="shared" si="23"/>
        <v>5.6077911197989385</v>
      </c>
      <c r="O147" s="14"/>
      <c r="P147" s="2">
        <f>SUM(OSRRefP22_18x_0)</f>
        <v>10944.34</v>
      </c>
      <c r="Q147" s="2"/>
      <c r="R147" s="6">
        <f t="shared" si="24"/>
        <v>3.7474653476628475E-3</v>
      </c>
      <c r="S147" s="2"/>
      <c r="T147" s="2">
        <f>SUM(OSRRefT22_18x_0)</f>
        <v>5815.0300000000007</v>
      </c>
      <c r="U147" s="2"/>
      <c r="V147" s="6">
        <f t="shared" si="25"/>
        <v>4.3641963151423123E-3</v>
      </c>
      <c r="W147" s="2"/>
      <c r="X147" s="2">
        <f t="shared" si="26"/>
        <v>5129.3099999999995</v>
      </c>
      <c r="Y147" s="2"/>
      <c r="Z147" s="6">
        <f t="shared" si="27"/>
        <v>0.88207799443854962</v>
      </c>
    </row>
    <row r="148" spans="1:26" s="69" customFormat="1" ht="15" hidden="1" customHeight="1" outlineLevel="2" x14ac:dyDescent="0.3">
      <c r="A148" s="26"/>
      <c r="B148" s="12" t="str">
        <f>CONCATENATE("          ","6234"," - ","EXPENDABLE SUPPLIES &amp; EQUIPMEN")</f>
        <v xml:space="preserve">          6234 - EXPENDABLE SUPPLIES &amp; EQUIPMEN</v>
      </c>
      <c r="C148" s="12"/>
      <c r="D148" s="8"/>
      <c r="E148" s="3"/>
      <c r="F148" s="7">
        <f t="shared" si="20"/>
        <v>0</v>
      </c>
      <c r="G148" s="3"/>
      <c r="H148" s="8"/>
      <c r="I148" s="3"/>
      <c r="J148" s="7">
        <f t="shared" si="21"/>
        <v>0</v>
      </c>
      <c r="K148" s="3"/>
      <c r="L148" s="8">
        <f t="shared" si="22"/>
        <v>0</v>
      </c>
      <c r="M148" s="3"/>
      <c r="N148" s="7">
        <f t="shared" si="23"/>
        <v>0</v>
      </c>
      <c r="O148" s="12"/>
      <c r="P148" s="8">
        <v>1393.55</v>
      </c>
      <c r="Q148" s="3"/>
      <c r="R148" s="7">
        <f t="shared" si="24"/>
        <v>4.7716722390162957E-4</v>
      </c>
      <c r="S148" s="3"/>
      <c r="T148" s="8">
        <v>396.5</v>
      </c>
      <c r="U148" s="3"/>
      <c r="V148" s="7">
        <f t="shared" si="25"/>
        <v>2.9757436143131277E-4</v>
      </c>
      <c r="W148" s="3"/>
      <c r="X148" s="8">
        <f t="shared" si="26"/>
        <v>997.05</v>
      </c>
      <c r="Y148" s="3"/>
      <c r="Z148" s="7">
        <f t="shared" si="27"/>
        <v>2.5146279949558639</v>
      </c>
    </row>
    <row r="149" spans="1:26" s="69" customFormat="1" ht="15" hidden="1" customHeight="1" outlineLevel="2" x14ac:dyDescent="0.3">
      <c r="A149" s="26"/>
      <c r="B149" s="12" t="str">
        <f>CONCATENATE("          ","6235"," - ","COVID-19 EXPENSES")</f>
        <v xml:space="preserve">          6235 - COVID-19 EXPENSES</v>
      </c>
      <c r="C149" s="12"/>
      <c r="D149" s="8"/>
      <c r="E149" s="3"/>
      <c r="F149" s="7">
        <f t="shared" si="20"/>
        <v>0</v>
      </c>
      <c r="G149" s="3"/>
      <c r="H149" s="8"/>
      <c r="I149" s="3"/>
      <c r="J149" s="7">
        <f t="shared" si="21"/>
        <v>0</v>
      </c>
      <c r="K149" s="3"/>
      <c r="L149" s="8">
        <f t="shared" si="22"/>
        <v>0</v>
      </c>
      <c r="M149" s="3"/>
      <c r="N149" s="7">
        <f t="shared" si="23"/>
        <v>0</v>
      </c>
      <c r="O149" s="12"/>
      <c r="P149" s="8"/>
      <c r="Q149" s="3"/>
      <c r="R149" s="7">
        <f t="shared" si="24"/>
        <v>0</v>
      </c>
      <c r="S149" s="3"/>
      <c r="T149" s="8">
        <v>1736.43</v>
      </c>
      <c r="U149" s="3"/>
      <c r="V149" s="7">
        <f t="shared" si="25"/>
        <v>1.3031955823964046E-3</v>
      </c>
      <c r="W149" s="3"/>
      <c r="X149" s="8">
        <f t="shared" si="26"/>
        <v>-1736.43</v>
      </c>
      <c r="Y149" s="3"/>
      <c r="Z149" s="7">
        <f t="shared" si="27"/>
        <v>-1</v>
      </c>
    </row>
    <row r="150" spans="1:26" s="69" customFormat="1" ht="15" hidden="1" customHeight="1" outlineLevel="2" x14ac:dyDescent="0.3">
      <c r="A150" s="26"/>
      <c r="B150" s="12" t="str">
        <f>CONCATENATE("          ","6237"," - ","JANITORIAL SUPPLIES")</f>
        <v xml:space="preserve">          6237 - JANITORIAL SUPPLIES</v>
      </c>
      <c r="C150" s="12"/>
      <c r="D150" s="8"/>
      <c r="E150" s="3"/>
      <c r="F150" s="7">
        <f t="shared" si="20"/>
        <v>0</v>
      </c>
      <c r="G150" s="3"/>
      <c r="H150" s="8"/>
      <c r="I150" s="3"/>
      <c r="J150" s="7">
        <f t="shared" si="21"/>
        <v>0</v>
      </c>
      <c r="K150" s="3"/>
      <c r="L150" s="8">
        <f t="shared" si="22"/>
        <v>0</v>
      </c>
      <c r="M150" s="3"/>
      <c r="N150" s="7">
        <f t="shared" si="23"/>
        <v>0</v>
      </c>
      <c r="O150" s="12"/>
      <c r="P150" s="8">
        <v>77.17</v>
      </c>
      <c r="Q150" s="3"/>
      <c r="R150" s="7">
        <f t="shared" si="24"/>
        <v>2.6423877627992362E-5</v>
      </c>
      <c r="S150" s="3"/>
      <c r="T150" s="8">
        <v>191.74</v>
      </c>
      <c r="U150" s="3"/>
      <c r="V150" s="7">
        <f t="shared" si="25"/>
        <v>1.4390140746743988E-4</v>
      </c>
      <c r="W150" s="3"/>
      <c r="X150" s="8">
        <f t="shared" si="26"/>
        <v>-114.57000000000001</v>
      </c>
      <c r="Y150" s="3"/>
      <c r="Z150" s="7">
        <f t="shared" si="27"/>
        <v>-0.59752790236778974</v>
      </c>
    </row>
    <row r="151" spans="1:26" s="69" customFormat="1" ht="15" hidden="1" customHeight="1" outlineLevel="2" x14ac:dyDescent="0.3">
      <c r="A151" s="26"/>
      <c r="B151" s="12" t="str">
        <f>CONCATENATE("          ","6241"," - ","OFFICE EXPENSE")</f>
        <v xml:space="preserve">          6241 - OFFICE EXPENSE</v>
      </c>
      <c r="C151" s="12"/>
      <c r="D151" s="8">
        <v>473.25</v>
      </c>
      <c r="E151" s="3"/>
      <c r="F151" s="7">
        <f t="shared" si="20"/>
        <v>8.2164391145628387E-4</v>
      </c>
      <c r="G151" s="3"/>
      <c r="H151" s="8">
        <v>27.96</v>
      </c>
      <c r="I151" s="3"/>
      <c r="J151" s="7">
        <f t="shared" si="21"/>
        <v>2.3238957069517647E-4</v>
      </c>
      <c r="K151" s="3"/>
      <c r="L151" s="8">
        <f t="shared" si="22"/>
        <v>445.29</v>
      </c>
      <c r="M151" s="3"/>
      <c r="N151" s="7">
        <f t="shared" si="23"/>
        <v>15.925965665236053</v>
      </c>
      <c r="O151" s="12"/>
      <c r="P151" s="8">
        <v>2034.3</v>
      </c>
      <c r="Q151" s="3"/>
      <c r="R151" s="7">
        <f t="shared" si="24"/>
        <v>6.9656724450725487E-4</v>
      </c>
      <c r="S151" s="3"/>
      <c r="T151" s="8">
        <v>1157.4000000000001</v>
      </c>
      <c r="U151" s="3"/>
      <c r="V151" s="7">
        <f t="shared" si="25"/>
        <v>8.6863194431425323E-4</v>
      </c>
      <c r="W151" s="3"/>
      <c r="X151" s="8">
        <f t="shared" si="26"/>
        <v>876.89999999999986</v>
      </c>
      <c r="Y151" s="3"/>
      <c r="Z151" s="7">
        <f t="shared" si="27"/>
        <v>0.75764644893727306</v>
      </c>
    </row>
    <row r="152" spans="1:26" s="69" customFormat="1" ht="15" hidden="1" customHeight="1" outlineLevel="2" x14ac:dyDescent="0.3">
      <c r="A152" s="26"/>
      <c r="B152" s="12" t="str">
        <f>CONCATENATE("          ","6245"," - ","PRINTING")</f>
        <v xml:space="preserve">          6245 - PRINTING</v>
      </c>
      <c r="C152" s="12"/>
      <c r="D152" s="8"/>
      <c r="E152" s="3"/>
      <c r="F152" s="7">
        <f t="shared" ref="F152:F161" si="28">IF(D$12=0,0,D152/D$12)</f>
        <v>0</v>
      </c>
      <c r="G152" s="3"/>
      <c r="H152" s="8"/>
      <c r="I152" s="3"/>
      <c r="J152" s="7">
        <f t="shared" ref="J152:J161" si="29">IF(H$12=0,0,H152/H$12)</f>
        <v>0</v>
      </c>
      <c r="K152" s="3"/>
      <c r="L152" s="8">
        <f t="shared" ref="L152:L161" si="30">+D152-H152</f>
        <v>0</v>
      </c>
      <c r="M152" s="3"/>
      <c r="N152" s="7">
        <f t="shared" ref="N152:N161" si="31">IF(H152=0,0,L152/H152)</f>
        <v>0</v>
      </c>
      <c r="O152" s="12"/>
      <c r="P152" s="8">
        <v>24.75</v>
      </c>
      <c r="Q152" s="3"/>
      <c r="R152" s="7">
        <f t="shared" ref="R152:R161" si="32">IF(P$12=0,0,P152/P$12)</f>
        <v>8.4746789075134241E-6</v>
      </c>
      <c r="S152" s="3"/>
      <c r="T152" s="8"/>
      <c r="U152" s="3"/>
      <c r="V152" s="7">
        <f t="shared" ref="V152:V161" si="33">IF(T$12=0,0,T152/T$12)</f>
        <v>0</v>
      </c>
      <c r="W152" s="3"/>
      <c r="X152" s="8">
        <f t="shared" ref="X152:X161" si="34">+P152-T152</f>
        <v>24.75</v>
      </c>
      <c r="Y152" s="3"/>
      <c r="Z152" s="7">
        <f t="shared" ref="Z152:Z161" si="35">IF(T152=0,0,X152/T152)</f>
        <v>0</v>
      </c>
    </row>
    <row r="153" spans="1:26" s="69" customFormat="1" ht="15" hidden="1" customHeight="1" outlineLevel="2" x14ac:dyDescent="0.3">
      <c r="A153" s="26"/>
      <c r="B153" s="12" t="str">
        <f>CONCATENATE("          ","6247"," - ","STORE SUPPLIES")</f>
        <v xml:space="preserve">          6247 - STORE SUPPLIES</v>
      </c>
      <c r="C153" s="12"/>
      <c r="D153" s="8"/>
      <c r="E153" s="3"/>
      <c r="F153" s="7">
        <f t="shared" si="28"/>
        <v>0</v>
      </c>
      <c r="G153" s="3"/>
      <c r="H153" s="8">
        <v>43.66</v>
      </c>
      <c r="I153" s="3"/>
      <c r="J153" s="7">
        <f t="shared" si="29"/>
        <v>3.6288013793102299E-4</v>
      </c>
      <c r="K153" s="3"/>
      <c r="L153" s="8">
        <f t="shared" si="30"/>
        <v>-43.66</v>
      </c>
      <c r="M153" s="3"/>
      <c r="N153" s="7">
        <f t="shared" si="31"/>
        <v>-1</v>
      </c>
      <c r="O153" s="12"/>
      <c r="P153" s="8">
        <v>7414.57</v>
      </c>
      <c r="Q153" s="3"/>
      <c r="R153" s="7">
        <f t="shared" si="32"/>
        <v>2.538832322718457E-3</v>
      </c>
      <c r="S153" s="3"/>
      <c r="T153" s="8">
        <v>2332.96</v>
      </c>
      <c r="U153" s="3"/>
      <c r="V153" s="7">
        <f t="shared" si="33"/>
        <v>1.7508930195329014E-3</v>
      </c>
      <c r="W153" s="3"/>
      <c r="X153" s="8">
        <f t="shared" si="34"/>
        <v>5081.6099999999997</v>
      </c>
      <c r="Y153" s="3"/>
      <c r="Z153" s="7">
        <f t="shared" si="35"/>
        <v>2.1781813661614429</v>
      </c>
    </row>
    <row r="154" spans="1:26" s="68" customFormat="1" ht="15" customHeight="1" outlineLevel="1" collapsed="1" x14ac:dyDescent="0.3">
      <c r="A154" s="25"/>
      <c r="B154" s="14" t="str">
        <f>CONCATENATE("     ","Telephone/Data Lines                              ")</f>
        <v xml:space="preserve">     Telephone/Data Lines                              </v>
      </c>
      <c r="C154" s="14"/>
      <c r="D154" s="2">
        <f>SUM(OSRRefD22_19x_0)</f>
        <v>583.14</v>
      </c>
      <c r="E154" s="2"/>
      <c r="F154" s="6">
        <f t="shared" si="28"/>
        <v>1.0124319715300947E-3</v>
      </c>
      <c r="G154" s="2"/>
      <c r="H154" s="2">
        <f>SUM(OSRRefH22_19x_0)</f>
        <v>187.04</v>
      </c>
      <c r="I154" s="2"/>
      <c r="J154" s="6">
        <f t="shared" si="29"/>
        <v>1.5545831653371175E-3</v>
      </c>
      <c r="K154" s="2"/>
      <c r="L154" s="2">
        <f t="shared" si="30"/>
        <v>396.1</v>
      </c>
      <c r="M154" s="2"/>
      <c r="N154" s="6">
        <f t="shared" si="31"/>
        <v>2.1177288280581696</v>
      </c>
      <c r="O154" s="14"/>
      <c r="P154" s="2">
        <f>SUM(OSRRefP22_19x_0)</f>
        <v>4497.0600000000004</v>
      </c>
      <c r="Q154" s="2"/>
      <c r="R154" s="6">
        <f t="shared" si="32"/>
        <v>1.5398440213261544E-3</v>
      </c>
      <c r="S154" s="2"/>
      <c r="T154" s="2">
        <f>SUM(OSRRefT22_19x_0)</f>
        <v>5573.88</v>
      </c>
      <c r="U154" s="2"/>
      <c r="V154" s="6">
        <f t="shared" si="33"/>
        <v>4.1832125641734315E-3</v>
      </c>
      <c r="W154" s="2"/>
      <c r="X154" s="2">
        <f t="shared" si="34"/>
        <v>-1076.8199999999997</v>
      </c>
      <c r="Y154" s="2"/>
      <c r="Z154" s="6">
        <f t="shared" si="35"/>
        <v>-0.19319038084781151</v>
      </c>
    </row>
    <row r="155" spans="1:26" s="69" customFormat="1" ht="15" hidden="1" customHeight="1" outlineLevel="2" x14ac:dyDescent="0.3">
      <c r="A155" s="26"/>
      <c r="B155" s="12" t="str">
        <f>CONCATENATE("          ","6309"," - ","TELEPHONE")</f>
        <v xml:space="preserve">          6309 - TELEPHONE</v>
      </c>
      <c r="C155" s="12"/>
      <c r="D155" s="8">
        <v>583.14</v>
      </c>
      <c r="E155" s="3"/>
      <c r="F155" s="7">
        <f t="shared" si="28"/>
        <v>1.0124319715300947E-3</v>
      </c>
      <c r="G155" s="3"/>
      <c r="H155" s="8">
        <v>187.04</v>
      </c>
      <c r="I155" s="3"/>
      <c r="J155" s="7">
        <f t="shared" si="29"/>
        <v>1.5545831653371175E-3</v>
      </c>
      <c r="K155" s="3"/>
      <c r="L155" s="8">
        <f t="shared" si="30"/>
        <v>396.1</v>
      </c>
      <c r="M155" s="3"/>
      <c r="N155" s="7">
        <f t="shared" si="31"/>
        <v>2.1177288280581696</v>
      </c>
      <c r="O155" s="12"/>
      <c r="P155" s="8">
        <v>4497.0600000000004</v>
      </c>
      <c r="Q155" s="3"/>
      <c r="R155" s="7">
        <f t="shared" si="32"/>
        <v>1.5398440213261544E-3</v>
      </c>
      <c r="S155" s="3"/>
      <c r="T155" s="8">
        <v>5573.88</v>
      </c>
      <c r="U155" s="3"/>
      <c r="V155" s="7">
        <f t="shared" si="33"/>
        <v>4.1832125641734315E-3</v>
      </c>
      <c r="W155" s="3"/>
      <c r="X155" s="8">
        <f t="shared" si="34"/>
        <v>-1076.8199999999997</v>
      </c>
      <c r="Y155" s="3"/>
      <c r="Z155" s="7">
        <f t="shared" si="35"/>
        <v>-0.19319038084781151</v>
      </c>
    </row>
    <row r="156" spans="1:26" s="68" customFormat="1" ht="15" customHeight="1" outlineLevel="1" collapsed="1" x14ac:dyDescent="0.3">
      <c r="A156" s="25"/>
      <c r="B156" s="14" t="str">
        <f>CONCATENATE("     ","Training                                          ")</f>
        <v xml:space="preserve">     Training                                          </v>
      </c>
      <c r="C156" s="14"/>
      <c r="D156" s="2">
        <f>SUM(OSRRefD22_20x_0)</f>
        <v>300</v>
      </c>
      <c r="E156" s="2"/>
      <c r="F156" s="6">
        <f t="shared" si="28"/>
        <v>5.2085192485342878E-4</v>
      </c>
      <c r="G156" s="2"/>
      <c r="H156" s="2">
        <f>SUM(OSRRefH22_20x_0)</f>
        <v>0</v>
      </c>
      <c r="I156" s="2"/>
      <c r="J156" s="6">
        <f t="shared" si="29"/>
        <v>0</v>
      </c>
      <c r="K156" s="2"/>
      <c r="L156" s="2">
        <f t="shared" si="30"/>
        <v>300</v>
      </c>
      <c r="M156" s="2"/>
      <c r="N156" s="6">
        <f t="shared" si="31"/>
        <v>0</v>
      </c>
      <c r="O156" s="14"/>
      <c r="P156" s="2">
        <f>SUM(OSRRefP22_20x_0)</f>
        <v>300</v>
      </c>
      <c r="Q156" s="2"/>
      <c r="R156" s="6">
        <f t="shared" si="32"/>
        <v>1.0272338069713241E-4</v>
      </c>
      <c r="S156" s="2"/>
      <c r="T156" s="2">
        <f>SUM(OSRRefT22_20x_0)</f>
        <v>14</v>
      </c>
      <c r="U156" s="2"/>
      <c r="V156" s="6">
        <f t="shared" si="33"/>
        <v>1.0507039243476364E-5</v>
      </c>
      <c r="W156" s="2"/>
      <c r="X156" s="2">
        <f t="shared" si="34"/>
        <v>286</v>
      </c>
      <c r="Y156" s="2"/>
      <c r="Z156" s="6">
        <f t="shared" si="35"/>
        <v>20.428571428571427</v>
      </c>
    </row>
    <row r="157" spans="1:26" s="69" customFormat="1" ht="15" hidden="1" customHeight="1" outlineLevel="2" x14ac:dyDescent="0.3">
      <c r="A157" s="26"/>
      <c r="B157" s="12" t="str">
        <f>CONCATENATE("          ","6376"," - ","TRAINING")</f>
        <v xml:space="preserve">          6376 - TRAINING</v>
      </c>
      <c r="C157" s="12"/>
      <c r="D157" s="8">
        <v>300</v>
      </c>
      <c r="E157" s="3"/>
      <c r="F157" s="7">
        <f t="shared" si="28"/>
        <v>5.2085192485342878E-4</v>
      </c>
      <c r="G157" s="3"/>
      <c r="H157" s="8"/>
      <c r="I157" s="3"/>
      <c r="J157" s="7">
        <f t="shared" si="29"/>
        <v>0</v>
      </c>
      <c r="K157" s="3"/>
      <c r="L157" s="8">
        <f t="shared" si="30"/>
        <v>300</v>
      </c>
      <c r="M157" s="3"/>
      <c r="N157" s="7">
        <f t="shared" si="31"/>
        <v>0</v>
      </c>
      <c r="O157" s="12"/>
      <c r="P157" s="8">
        <v>300</v>
      </c>
      <c r="Q157" s="3"/>
      <c r="R157" s="7">
        <f t="shared" si="32"/>
        <v>1.0272338069713241E-4</v>
      </c>
      <c r="S157" s="3"/>
      <c r="T157" s="8">
        <v>14</v>
      </c>
      <c r="U157" s="3"/>
      <c r="V157" s="7">
        <f t="shared" si="33"/>
        <v>1.0507039243476364E-5</v>
      </c>
      <c r="W157" s="3"/>
      <c r="X157" s="8">
        <f t="shared" si="34"/>
        <v>286</v>
      </c>
      <c r="Y157" s="3"/>
      <c r="Z157" s="7">
        <f t="shared" si="35"/>
        <v>20.428571428571427</v>
      </c>
    </row>
    <row r="158" spans="1:26" s="68" customFormat="1" ht="15" customHeight="1" outlineLevel="1" collapsed="1" x14ac:dyDescent="0.3">
      <c r="A158" s="25"/>
      <c r="B158" s="14" t="str">
        <f>CONCATENATE("     ","Travel                                            ")</f>
        <v xml:space="preserve">     Travel                                            </v>
      </c>
      <c r="C158" s="14"/>
      <c r="D158" s="2">
        <f>SUM(OSRRefD22_21x_0)</f>
        <v>116.74</v>
      </c>
      <c r="E158" s="2"/>
      <c r="F158" s="6">
        <f t="shared" si="28"/>
        <v>2.0268084569129757E-4</v>
      </c>
      <c r="G158" s="2"/>
      <c r="H158" s="2">
        <f>SUM(OSRRefH22_21x_0)</f>
        <v>0</v>
      </c>
      <c r="I158" s="2"/>
      <c r="J158" s="6">
        <f t="shared" si="29"/>
        <v>0</v>
      </c>
      <c r="K158" s="2"/>
      <c r="L158" s="2">
        <f t="shared" si="30"/>
        <v>116.74</v>
      </c>
      <c r="M158" s="2"/>
      <c r="N158" s="6">
        <f t="shared" si="31"/>
        <v>0</v>
      </c>
      <c r="O158" s="14"/>
      <c r="P158" s="2">
        <f>SUM(OSRRefP22_21x_0)</f>
        <v>356.67</v>
      </c>
      <c r="Q158" s="2"/>
      <c r="R158" s="6">
        <f t="shared" si="32"/>
        <v>1.2212782731082074E-4</v>
      </c>
      <c r="S158" s="2"/>
      <c r="T158" s="2">
        <f>SUM(OSRRefT22_21x_0)</f>
        <v>451.26</v>
      </c>
      <c r="U158" s="2"/>
      <c r="V158" s="6">
        <f t="shared" si="33"/>
        <v>3.3867189492936745E-4</v>
      </c>
      <c r="W158" s="2"/>
      <c r="X158" s="2">
        <f t="shared" si="34"/>
        <v>-94.589999999999975</v>
      </c>
      <c r="Y158" s="2"/>
      <c r="Z158" s="6">
        <f t="shared" si="35"/>
        <v>-0.20961308336657355</v>
      </c>
    </row>
    <row r="159" spans="1:26" s="69" customFormat="1" ht="15" hidden="1" customHeight="1" outlineLevel="2" x14ac:dyDescent="0.3">
      <c r="A159" s="26"/>
      <c r="B159" s="12" t="str">
        <f>CONCATENATE("          ","6294"," - ","TRAVEL OPERATIONAL")</f>
        <v xml:space="preserve">          6294 - TRAVEL OPERATIONAL</v>
      </c>
      <c r="C159" s="12"/>
      <c r="D159" s="8">
        <v>116.74</v>
      </c>
      <c r="E159" s="3"/>
      <c r="F159" s="7">
        <f t="shared" si="28"/>
        <v>2.0268084569129757E-4</v>
      </c>
      <c r="G159" s="3"/>
      <c r="H159" s="8"/>
      <c r="I159" s="3"/>
      <c r="J159" s="7">
        <f t="shared" si="29"/>
        <v>0</v>
      </c>
      <c r="K159" s="3"/>
      <c r="L159" s="8">
        <f t="shared" si="30"/>
        <v>116.74</v>
      </c>
      <c r="M159" s="3"/>
      <c r="N159" s="7">
        <f t="shared" si="31"/>
        <v>0</v>
      </c>
      <c r="O159" s="12"/>
      <c r="P159" s="8">
        <v>356.67</v>
      </c>
      <c r="Q159" s="3"/>
      <c r="R159" s="7">
        <f t="shared" si="32"/>
        <v>1.2212782731082074E-4</v>
      </c>
      <c r="S159" s="3"/>
      <c r="T159" s="8">
        <v>451.26</v>
      </c>
      <c r="U159" s="3"/>
      <c r="V159" s="7">
        <f t="shared" si="33"/>
        <v>3.3867189492936745E-4</v>
      </c>
      <c r="W159" s="3"/>
      <c r="X159" s="8">
        <f t="shared" si="34"/>
        <v>-94.589999999999975</v>
      </c>
      <c r="Y159" s="3"/>
      <c r="Z159" s="7">
        <f t="shared" si="35"/>
        <v>-0.20961308336657355</v>
      </c>
    </row>
    <row r="160" spans="1:26" s="68" customFormat="1" ht="15" customHeight="1" outlineLevel="1" collapsed="1" x14ac:dyDescent="0.3">
      <c r="A160" s="25"/>
      <c r="B160" s="14" t="str">
        <f>CONCATENATE("     ","Utilities                                         ")</f>
        <v xml:space="preserve">     Utilities                                         </v>
      </c>
      <c r="C160" s="14"/>
      <c r="D160" s="2">
        <f>SUM(OSRRefD22_22x_0)</f>
        <v>355.65</v>
      </c>
      <c r="E160" s="2"/>
      <c r="F160" s="6">
        <f t="shared" si="28"/>
        <v>6.174699569137397E-4</v>
      </c>
      <c r="G160" s="2"/>
      <c r="H160" s="2">
        <f>SUM(OSRRefH22_22x_0)</f>
        <v>28.14</v>
      </c>
      <c r="I160" s="2"/>
      <c r="J160" s="6">
        <f t="shared" si="29"/>
        <v>2.3388564089278489E-4</v>
      </c>
      <c r="K160" s="2"/>
      <c r="L160" s="2">
        <f t="shared" si="30"/>
        <v>327.51</v>
      </c>
      <c r="M160" s="2"/>
      <c r="N160" s="6">
        <f t="shared" si="31"/>
        <v>11.638592750533048</v>
      </c>
      <c r="O160" s="14"/>
      <c r="P160" s="2">
        <f>SUM(OSRRefP22_22x_0)</f>
        <v>895.07</v>
      </c>
      <c r="Q160" s="2"/>
      <c r="R160" s="6">
        <f t="shared" si="32"/>
        <v>3.0648205453527437E-4</v>
      </c>
      <c r="S160" s="2"/>
      <c r="T160" s="2">
        <f>SUM(OSRRefT22_22x_0)</f>
        <v>205.15</v>
      </c>
      <c r="U160" s="2"/>
      <c r="V160" s="6">
        <f t="shared" si="33"/>
        <v>1.5396565005708403E-4</v>
      </c>
      <c r="W160" s="2"/>
      <c r="X160" s="2">
        <f t="shared" si="34"/>
        <v>689.92000000000007</v>
      </c>
      <c r="Y160" s="2"/>
      <c r="Z160" s="6">
        <f t="shared" si="35"/>
        <v>3.3630026809651477</v>
      </c>
    </row>
    <row r="161" spans="1:26" s="69" customFormat="1" ht="15" hidden="1" customHeight="1" outlineLevel="2" x14ac:dyDescent="0.3">
      <c r="A161" s="26"/>
      <c r="B161" s="12" t="str">
        <f>CONCATENATE("          ","6274"," - ","UTILITIES")</f>
        <v xml:space="preserve">          6274 - UTILITIES</v>
      </c>
      <c r="C161" s="12"/>
      <c r="D161" s="8">
        <v>355.65</v>
      </c>
      <c r="E161" s="3"/>
      <c r="F161" s="7">
        <f t="shared" si="28"/>
        <v>6.174699569137397E-4</v>
      </c>
      <c r="G161" s="3"/>
      <c r="H161" s="8">
        <v>28.14</v>
      </c>
      <c r="I161" s="3"/>
      <c r="J161" s="7">
        <f t="shared" si="29"/>
        <v>2.3388564089278489E-4</v>
      </c>
      <c r="K161" s="3"/>
      <c r="L161" s="8">
        <f t="shared" si="30"/>
        <v>327.51</v>
      </c>
      <c r="M161" s="3"/>
      <c r="N161" s="7">
        <f t="shared" si="31"/>
        <v>11.638592750533048</v>
      </c>
      <c r="O161" s="12"/>
      <c r="P161" s="8">
        <v>895.07</v>
      </c>
      <c r="Q161" s="3"/>
      <c r="R161" s="7">
        <f t="shared" si="32"/>
        <v>3.0648205453527437E-4</v>
      </c>
      <c r="S161" s="3"/>
      <c r="T161" s="8">
        <v>205.15</v>
      </c>
      <c r="U161" s="3"/>
      <c r="V161" s="7">
        <f t="shared" si="33"/>
        <v>1.5396565005708403E-4</v>
      </c>
      <c r="W161" s="3"/>
      <c r="X161" s="8">
        <f t="shared" si="34"/>
        <v>689.92000000000007</v>
      </c>
      <c r="Y161" s="3"/>
      <c r="Z161" s="7">
        <f t="shared" si="35"/>
        <v>3.3630026809651477</v>
      </c>
    </row>
    <row r="162" spans="1:26" s="64" customFormat="1" ht="15" customHeight="1" x14ac:dyDescent="0.3">
      <c r="A162" s="36"/>
      <c r="B162" s="36"/>
      <c r="C162" s="36"/>
      <c r="D162" s="2"/>
      <c r="E162" s="2"/>
      <c r="F162" s="6"/>
      <c r="G162" s="2"/>
      <c r="H162" s="2"/>
      <c r="I162" s="2"/>
      <c r="J162" s="6"/>
      <c r="K162" s="2"/>
      <c r="L162" s="2"/>
      <c r="M162" s="2"/>
      <c r="N162" s="6"/>
      <c r="O162" s="36"/>
      <c r="P162" s="2"/>
      <c r="Q162" s="2"/>
      <c r="R162" s="6"/>
      <c r="S162" s="2"/>
      <c r="T162" s="2"/>
      <c r="U162" s="2"/>
      <c r="V162" s="6"/>
      <c r="W162" s="2"/>
      <c r="X162" s="2"/>
      <c r="Y162" s="2"/>
      <c r="Z162" s="6"/>
    </row>
    <row r="163" spans="1:26" s="62" customFormat="1" ht="15" customHeight="1" collapsed="1" x14ac:dyDescent="0.3">
      <c r="A163" s="11"/>
      <c r="B163" s="27" t="s">
        <v>290</v>
      </c>
      <c r="C163" s="11"/>
      <c r="D163" s="5">
        <f>SUM(OSRRefD25x_0)</f>
        <v>145</v>
      </c>
      <c r="E163" s="5"/>
      <c r="F163" s="13">
        <f>IF(D$12=0,0,D163/D$12)</f>
        <v>2.5174509701249054E-4</v>
      </c>
      <c r="G163" s="5"/>
      <c r="H163" s="5">
        <f>SUM(OSRRefH25x_0)</f>
        <v>-3986.08</v>
      </c>
      <c r="I163" s="5"/>
      <c r="J163" s="13">
        <f>IF(H$12=0,0,H163/H$12)</f>
        <v>-3.3130308296016771E-2</v>
      </c>
      <c r="K163" s="5"/>
      <c r="L163" s="5">
        <f>+D163-H163</f>
        <v>4131.08</v>
      </c>
      <c r="M163" s="5"/>
      <c r="N163" s="13">
        <f>IF(H163=0,0,L163/H163)</f>
        <v>-1.0363765905350619</v>
      </c>
      <c r="O163" s="11"/>
      <c r="P163" s="5">
        <f>SUM(OSRRefP25x_0)</f>
        <v>158647.37</v>
      </c>
      <c r="Q163" s="5"/>
      <c r="R163" s="13">
        <f>IF(P$12=0,0,P163/P$12)</f>
        <v>5.4322647283696082E-2</v>
      </c>
      <c r="S163" s="5"/>
      <c r="T163" s="5">
        <f>SUM(OSRRefT25x_0)</f>
        <v>217793.07</v>
      </c>
      <c r="U163" s="5"/>
      <c r="V163" s="13">
        <f>IF(T$12=0,0,T163/T$12)</f>
        <v>0.16345430953194251</v>
      </c>
      <c r="W163" s="5"/>
      <c r="X163" s="5">
        <f>+P163-T163</f>
        <v>-59145.700000000012</v>
      </c>
      <c r="Y163" s="5"/>
      <c r="Z163" s="13">
        <f>IF(T163=0,0,X163/T163)</f>
        <v>-0.27156832859741592</v>
      </c>
    </row>
    <row r="164" spans="1:26" s="69" customFormat="1" ht="15" hidden="1" customHeight="1" outlineLevel="1" x14ac:dyDescent="0.3">
      <c r="A164" s="42"/>
      <c r="B164" s="12" t="str">
        <f>CONCATENATE("          ","9150"," - ","MISC. INCOME")</f>
        <v xml:space="preserve">          9150 - MISC. INCOME</v>
      </c>
      <c r="C164" s="12"/>
      <c r="D164" s="3">
        <f>--145</f>
        <v>145</v>
      </c>
      <c r="E164" s="3"/>
      <c r="F164" s="20">
        <f>IF(D$12=0,0,D164/D$12)</f>
        <v>2.5174509701249054E-4</v>
      </c>
      <c r="G164" s="3"/>
      <c r="H164" s="3">
        <f>0</f>
        <v>0</v>
      </c>
      <c r="I164" s="3"/>
      <c r="J164" s="20">
        <f>IF(H$12=0,0,H164/H$12)</f>
        <v>0</v>
      </c>
      <c r="K164" s="3"/>
      <c r="L164" s="3">
        <f>+D164-H164</f>
        <v>145</v>
      </c>
      <c r="M164" s="3"/>
      <c r="N164" s="20">
        <f>IF(H164=0,0,L164/H164)</f>
        <v>0</v>
      </c>
      <c r="O164" s="12"/>
      <c r="P164" s="3">
        <f>--78871.67</f>
        <v>78871.67</v>
      </c>
      <c r="Q164" s="3"/>
      <c r="R164" s="20">
        <f>IF(P$12=0,0,P164/P$12)</f>
        <v>2.7006548612095324E-2</v>
      </c>
      <c r="S164" s="3"/>
      <c r="T164" s="3">
        <f>--46373.31</f>
        <v>46373.31</v>
      </c>
      <c r="U164" s="3"/>
      <c r="V164" s="20">
        <f>IF(T$12=0,0,T164/T$12)</f>
        <v>3.480329914427821E-2</v>
      </c>
      <c r="W164" s="3"/>
      <c r="X164" s="3">
        <f>+P164-T164</f>
        <v>32498.36</v>
      </c>
      <c r="Y164" s="3"/>
      <c r="Z164" s="20">
        <f>IF(T164=0,0,X164/T164)</f>
        <v>0.7007987999993962</v>
      </c>
    </row>
    <row r="165" spans="1:26" s="69" customFormat="1" ht="15" hidden="1" customHeight="1" outlineLevel="1" x14ac:dyDescent="0.3">
      <c r="A165" s="42"/>
      <c r="B165" s="12" t="str">
        <f>CONCATENATE("          ","9163"," - ","MISC. INCOME")</f>
        <v xml:space="preserve">          9163 - MISC. INCOME</v>
      </c>
      <c r="C165" s="12"/>
      <c r="D165" s="3">
        <f>0</f>
        <v>0</v>
      </c>
      <c r="E165" s="3"/>
      <c r="F165" s="20">
        <f>IF(D$12=0,0,D165/D$12)</f>
        <v>0</v>
      </c>
      <c r="G165" s="3"/>
      <c r="H165" s="3">
        <f>-3986.08</f>
        <v>-3986.08</v>
      </c>
      <c r="I165" s="3"/>
      <c r="J165" s="20">
        <f>IF(H$12=0,0,H165/H$12)</f>
        <v>-3.3130308296016771E-2</v>
      </c>
      <c r="K165" s="3"/>
      <c r="L165" s="3">
        <f>+D165-H165</f>
        <v>3986.08</v>
      </c>
      <c r="M165" s="3"/>
      <c r="N165" s="20">
        <f>IF(H165=0,0,L165/H165)</f>
        <v>-1</v>
      </c>
      <c r="O165" s="12"/>
      <c r="P165" s="3">
        <f>--79775.7</f>
        <v>79775.7</v>
      </c>
      <c r="Q165" s="3"/>
      <c r="R165" s="20">
        <f>IF(P$12=0,0,P165/P$12)</f>
        <v>2.7316098671600755E-2</v>
      </c>
      <c r="S165" s="3"/>
      <c r="T165" s="3">
        <f>--171419.76</f>
        <v>171419.76</v>
      </c>
      <c r="U165" s="3"/>
      <c r="V165" s="20">
        <f>IF(T$12=0,0,T165/T$12)</f>
        <v>0.1286510103876643</v>
      </c>
      <c r="W165" s="3"/>
      <c r="X165" s="3">
        <f>+P165-T165</f>
        <v>-91644.060000000012</v>
      </c>
      <c r="Y165" s="3"/>
      <c r="Z165" s="20">
        <f>IF(T165=0,0,X165/T165)</f>
        <v>-0.53461782935642899</v>
      </c>
    </row>
    <row r="166" spans="1:26" ht="15" customHeight="1" x14ac:dyDescent="0.3">
      <c r="A166" s="10"/>
      <c r="B166" s="11"/>
      <c r="C166" s="11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O166" s="11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2" customFormat="1" ht="15" customHeight="1" x14ac:dyDescent="0.3">
      <c r="A167" s="11"/>
      <c r="B167" s="28" t="s">
        <v>291</v>
      </c>
      <c r="C167" s="28"/>
      <c r="D167" s="23">
        <f>+D86-D88+D163</f>
        <v>193629.20000000007</v>
      </c>
      <c r="E167" s="15"/>
      <c r="F167" s="22">
        <f>IF(D$12=0,0,D167/D$12)</f>
        <v>0.33617380509276518</v>
      </c>
      <c r="G167" s="15"/>
      <c r="H167" s="23">
        <f>+H86-H88+H163</f>
        <v>-5368.269999999995</v>
      </c>
      <c r="I167" s="15"/>
      <c r="J167" s="22">
        <f>IF(H$12=0,0,H167/H$12)</f>
        <v>-4.461838199841895E-2</v>
      </c>
      <c r="K167" s="17"/>
      <c r="L167" s="23">
        <f>+D167-H167</f>
        <v>198997.47000000006</v>
      </c>
      <c r="M167" s="17"/>
      <c r="N167" s="22">
        <f>IF(H167=0,0,L167/H167)</f>
        <v>-37.06919920197759</v>
      </c>
      <c r="O167" s="27"/>
      <c r="P167" s="23">
        <f>+P86-P88+P163</f>
        <v>821496.5700000003</v>
      </c>
      <c r="Q167" s="15"/>
      <c r="R167" s="22">
        <f>IF(P$12=0,0,P167/P$12)</f>
        <v>0.28128968300499507</v>
      </c>
      <c r="S167" s="15"/>
      <c r="T167" s="23">
        <f>+T86-T88+T163</f>
        <v>234769.70999999967</v>
      </c>
      <c r="U167" s="15"/>
      <c r="V167" s="22">
        <f>IF(T$12=0,0,T167/T$12)</f>
        <v>0.17619532543925442</v>
      </c>
      <c r="W167" s="17"/>
      <c r="X167" s="23">
        <f>+P167-T167</f>
        <v>586726.86000000057</v>
      </c>
      <c r="Y167" s="17"/>
      <c r="Z167" s="22">
        <f>IF(T167=0,0,X167/T167)</f>
        <v>2.4991591121358945</v>
      </c>
    </row>
    <row r="168" spans="1:26" ht="15" customHeight="1" x14ac:dyDescent="0.3">
      <c r="A168" s="10"/>
      <c r="B168" s="11"/>
      <c r="C168" s="10"/>
      <c r="D168" s="4"/>
      <c r="E168" s="4"/>
      <c r="F168" s="9"/>
      <c r="G168" s="4"/>
      <c r="H168" s="4"/>
      <c r="I168" s="4"/>
      <c r="J168" s="9"/>
      <c r="K168" s="4"/>
      <c r="L168" s="4"/>
      <c r="M168" s="4"/>
      <c r="N168" s="9"/>
      <c r="P168" s="4"/>
      <c r="Q168" s="4"/>
      <c r="R168" s="9"/>
      <c r="S168" s="4"/>
      <c r="T168" s="4"/>
      <c r="U168" s="4"/>
      <c r="V168" s="9"/>
      <c r="W168" s="4"/>
      <c r="X168" s="4"/>
      <c r="Y168" s="4"/>
      <c r="Z168" s="9"/>
    </row>
    <row r="169" spans="1:26" s="62" customFormat="1" ht="15" customHeight="1" x14ac:dyDescent="0.3">
      <c r="A169" s="48"/>
      <c r="B169" s="11" t="s">
        <v>292</v>
      </c>
      <c r="C169" s="11"/>
      <c r="D169" s="5">
        <v>54206.92</v>
      </c>
      <c r="E169" s="5"/>
      <c r="F169" s="13">
        <f>IF(D$12=0,0,D169/D$12)</f>
        <v>9.4112595407919414E-2</v>
      </c>
      <c r="G169" s="5"/>
      <c r="H169" s="5">
        <v>43838.06</v>
      </c>
      <c r="I169" s="5"/>
      <c r="J169" s="13">
        <f>IF(H$12=0,0,H169/H$12)</f>
        <v>0.3643600838165017</v>
      </c>
      <c r="K169" s="5"/>
      <c r="L169" s="5">
        <f>+D169-H169</f>
        <v>10368.86</v>
      </c>
      <c r="M169" s="5"/>
      <c r="N169" s="13">
        <f>IF(H169=0,0,L169/H169)</f>
        <v>0.23652643387960146</v>
      </c>
      <c r="O169" s="11"/>
      <c r="P169" s="5">
        <v>364540.3</v>
      </c>
      <c r="Q169" s="5"/>
      <c r="R169" s="13">
        <f>IF(P$12=0,0,P169/P$12)</f>
        <v>0.1248227067211562</v>
      </c>
      <c r="S169" s="5"/>
      <c r="T169" s="5">
        <v>263870.78999999998</v>
      </c>
      <c r="U169" s="5"/>
      <c r="V169" s="13">
        <f>IF(T$12=0,0,T169/T$12)</f>
        <v>0.19803576755265076</v>
      </c>
      <c r="W169" s="5"/>
      <c r="X169" s="5">
        <f>+P169-T169</f>
        <v>100669.51000000001</v>
      </c>
      <c r="Y169" s="5"/>
      <c r="Z169" s="13">
        <f>IF(T169=0,0,X169/T169)</f>
        <v>0.38151062495397847</v>
      </c>
    </row>
    <row r="170" spans="1:26" ht="15" customHeight="1" x14ac:dyDescent="0.3">
      <c r="A170" s="10"/>
      <c r="B170" s="11"/>
      <c r="C170" s="11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O170" s="11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s="62" customFormat="1" ht="15" customHeight="1" x14ac:dyDescent="0.3">
      <c r="A171" s="11"/>
      <c r="B171" s="28" t="s">
        <v>293</v>
      </c>
      <c r="C171" s="28"/>
      <c r="D171" s="33">
        <f>+D167-D169</f>
        <v>139422.28000000009</v>
      </c>
      <c r="E171" s="15"/>
      <c r="F171" s="34">
        <f>IF(D$12=0,0,D171/D$12)</f>
        <v>0.24206120968484582</v>
      </c>
      <c r="G171" s="15"/>
      <c r="H171" s="33">
        <f>+H167-H169</f>
        <v>-49206.329999999994</v>
      </c>
      <c r="I171" s="15"/>
      <c r="J171" s="34">
        <f>IF(H$12=0,0,H171/H$12)</f>
        <v>-0.40897846581492064</v>
      </c>
      <c r="K171" s="17"/>
      <c r="L171" s="33">
        <f>D171-H171</f>
        <v>188628.61000000007</v>
      </c>
      <c r="M171" s="17"/>
      <c r="N171" s="34">
        <f>IF(H171=0,0,L171/H171)</f>
        <v>-3.8334216349807044</v>
      </c>
      <c r="O171" s="27"/>
      <c r="P171" s="33">
        <f>+P167-P169</f>
        <v>456956.27000000031</v>
      </c>
      <c r="Q171" s="15"/>
      <c r="R171" s="34">
        <f>IF(P$12=0,0,P171/P$12)</f>
        <v>0.15646697628383888</v>
      </c>
      <c r="S171" s="15"/>
      <c r="T171" s="33">
        <f>+T167-T169</f>
        <v>-29101.080000000307</v>
      </c>
      <c r="U171" s="15"/>
      <c r="V171" s="34">
        <f>IF(T$12=0,0,T171/T$12)</f>
        <v>-2.1840442113396315E-2</v>
      </c>
      <c r="W171" s="17"/>
      <c r="X171" s="33">
        <f>P171-T171</f>
        <v>486057.35000000062</v>
      </c>
      <c r="Y171" s="17"/>
      <c r="Z171" s="34">
        <f>IF(T171=0,0,X171/T171)</f>
        <v>-16.702381836000434</v>
      </c>
    </row>
    <row r="172" spans="1:26" ht="15" customHeight="1" x14ac:dyDescent="0.3">
      <c r="A172" s="10"/>
      <c r="B172" s="10"/>
      <c r="C172" s="10"/>
      <c r="D172" s="4"/>
      <c r="E172" s="4"/>
      <c r="F172" s="9"/>
      <c r="G172" s="4"/>
      <c r="H172" s="4"/>
      <c r="I172" s="4"/>
      <c r="J172" s="9"/>
      <c r="K172" s="4"/>
      <c r="L172" s="4"/>
      <c r="M172" s="4"/>
      <c r="N172" s="9"/>
      <c r="P172" s="4"/>
      <c r="Q172" s="4"/>
      <c r="R172" s="9"/>
      <c r="S172" s="4"/>
      <c r="T172" s="4"/>
      <c r="U172" s="4"/>
      <c r="V172" s="9"/>
      <c r="W172" s="4"/>
      <c r="X172" s="4"/>
      <c r="Y172" s="4"/>
      <c r="Z172" s="9"/>
    </row>
    <row r="173" spans="1:26" ht="15" customHeight="1" x14ac:dyDescent="0.3">
      <c r="A173" s="10"/>
      <c r="B173" s="10"/>
      <c r="C173" s="10"/>
      <c r="D173" s="4"/>
      <c r="E173" s="4"/>
      <c r="F173" s="9"/>
      <c r="G173" s="4"/>
      <c r="H173" s="4"/>
      <c r="I173" s="4"/>
      <c r="J173" s="9"/>
      <c r="K173" s="4"/>
      <c r="L173" s="4"/>
      <c r="M173" s="4"/>
      <c r="N173" s="9"/>
      <c r="P173" s="4"/>
      <c r="Q173" s="4"/>
      <c r="R173" s="9"/>
      <c r="S173" s="4"/>
      <c r="T173" s="4"/>
      <c r="U173" s="4"/>
      <c r="V173" s="9"/>
      <c r="W173" s="4"/>
      <c r="X173" s="4"/>
      <c r="Y173" s="4"/>
      <c r="Z173" s="9"/>
    </row>
    <row r="174" spans="1:26" s="62" customFormat="1" ht="15" customHeight="1" x14ac:dyDescent="0.3">
      <c r="A174" s="11"/>
      <c r="B174" s="28" t="s">
        <v>296</v>
      </c>
      <c r="C174" s="28"/>
      <c r="D174" s="35">
        <f>SUM(D171:D173)</f>
        <v>139422.28000000009</v>
      </c>
      <c r="E174" s="15"/>
      <c r="F174" s="29">
        <f>IF(D$12=0,0,D174/D$12)</f>
        <v>0.24206120968484582</v>
      </c>
      <c r="G174" s="15"/>
      <c r="H174" s="35">
        <f>SUM(H171:H173)</f>
        <v>-49206.329999999994</v>
      </c>
      <c r="I174" s="15"/>
      <c r="J174" s="29">
        <f>IF(H$12=0,0,H174/H$12)</f>
        <v>-0.40897846581492064</v>
      </c>
      <c r="K174" s="17"/>
      <c r="L174" s="35">
        <f>+D174-H174</f>
        <v>188628.61000000007</v>
      </c>
      <c r="M174" s="17"/>
      <c r="N174" s="29">
        <f>IF(H174=0,0,L174/H174)</f>
        <v>-3.8334216349807044</v>
      </c>
      <c r="O174" s="27"/>
      <c r="P174" s="35">
        <f>SUM(P171:P173)</f>
        <v>456956.27000000031</v>
      </c>
      <c r="Q174" s="15"/>
      <c r="R174" s="29">
        <f>IF(P$12=0,0,P174/P$12)</f>
        <v>0.15646697628383888</v>
      </c>
      <c r="S174" s="15"/>
      <c r="T174" s="35">
        <f>SUM(T171:T173)</f>
        <v>-29101.080000000307</v>
      </c>
      <c r="U174" s="15"/>
      <c r="V174" s="29">
        <f>IF(T$12=0,0,T174/T$12)</f>
        <v>-2.1840442113396315E-2</v>
      </c>
      <c r="W174" s="17"/>
      <c r="X174" s="35">
        <f>+P174-T174</f>
        <v>486057.35000000062</v>
      </c>
      <c r="Y174" s="17"/>
      <c r="Z174" s="29">
        <f>IF(T174=0,0,X174/T174)</f>
        <v>-16.702381836000434</v>
      </c>
    </row>
    <row r="175" spans="1:26" ht="15" customHeight="1" x14ac:dyDescent="0.3">
      <c r="A175" s="10"/>
      <c r="C175" s="10"/>
      <c r="D175" s="18"/>
      <c r="E175" s="18"/>
      <c r="G175" s="18"/>
      <c r="H175" s="18"/>
      <c r="I175" s="18"/>
      <c r="J175" s="41"/>
      <c r="K175" s="18"/>
      <c r="L175" s="18"/>
      <c r="M175" s="18"/>
      <c r="P175" s="18"/>
      <c r="Q175" s="18"/>
      <c r="R175" s="41"/>
      <c r="S175" s="18"/>
      <c r="T175" s="18"/>
      <c r="U175" s="18"/>
      <c r="V175" s="41"/>
      <c r="W175" s="18"/>
      <c r="X175" s="18"/>
    </row>
    <row r="176" spans="1:26" ht="15" customHeight="1" x14ac:dyDescent="0.3">
      <c r="A176" s="10"/>
      <c r="B176" s="50">
        <v>44634.887728159723</v>
      </c>
      <c r="D176" s="18"/>
      <c r="E176" s="18"/>
      <c r="G176" s="18"/>
      <c r="H176" s="18"/>
      <c r="I176" s="18"/>
      <c r="J176" s="41"/>
      <c r="K176" s="18"/>
      <c r="L176" s="18"/>
      <c r="M176" s="18"/>
      <c r="P176" s="18"/>
      <c r="Q176" s="18"/>
      <c r="R176" s="41"/>
      <c r="S176" s="18"/>
      <c r="T176" s="18"/>
      <c r="U176" s="18"/>
      <c r="V176" s="41"/>
      <c r="W176" s="18"/>
      <c r="X176" s="18"/>
    </row>
    <row r="177" spans="1:24" ht="15" customHeight="1" x14ac:dyDescent="0.3">
      <c r="A177" s="10"/>
      <c r="B177" s="58" t="s">
        <v>297</v>
      </c>
      <c r="D177" s="18"/>
      <c r="E177" s="18"/>
      <c r="G177" s="18"/>
      <c r="H177" s="18"/>
      <c r="I177" s="18"/>
      <c r="J177" s="41"/>
      <c r="K177" s="18"/>
      <c r="L177" s="18"/>
      <c r="M177" s="18"/>
      <c r="P177" s="18"/>
      <c r="Q177" s="18"/>
      <c r="R177" s="41"/>
      <c r="S177" s="18"/>
      <c r="T177" s="18"/>
      <c r="U177" s="18"/>
      <c r="V177" s="41"/>
      <c r="W177" s="18"/>
      <c r="X177" s="18"/>
    </row>
    <row r="178" spans="1:24" ht="15" customHeight="1" x14ac:dyDescent="0.3">
      <c r="A178" s="10"/>
      <c r="B178" s="56"/>
      <c r="D178" s="18"/>
      <c r="E178" s="18"/>
      <c r="G178" s="18"/>
      <c r="H178" s="18"/>
      <c r="I178" s="18"/>
      <c r="J178" s="41"/>
      <c r="K178" s="18"/>
      <c r="L178" s="18"/>
      <c r="M178" s="18"/>
      <c r="P178" s="18"/>
      <c r="Q178" s="18"/>
      <c r="R178" s="41"/>
      <c r="S178" s="18"/>
      <c r="T178" s="18"/>
      <c r="U178" s="18"/>
      <c r="V178" s="41"/>
      <c r="W178" s="18"/>
      <c r="X178" s="18"/>
    </row>
    <row r="179" spans="1:24" ht="15" customHeight="1" x14ac:dyDescent="0.3">
      <c r="D179" s="18"/>
      <c r="E179" s="18"/>
      <c r="G179" s="18"/>
      <c r="H179" s="18"/>
      <c r="I179" s="18"/>
      <c r="J179" s="41"/>
      <c r="K179" s="18"/>
      <c r="L179" s="18"/>
      <c r="M179" s="18"/>
      <c r="P179" s="18"/>
      <c r="Q179" s="18"/>
      <c r="R179" s="41"/>
      <c r="S179" s="18"/>
      <c r="T179" s="18"/>
      <c r="U179" s="18"/>
      <c r="V179" s="41"/>
      <c r="W179" s="18"/>
      <c r="X179" s="18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A855F-8304-D303-9086-4600232079FE}">
  <sheetPr>
    <tabColor rgb="FF92D050"/>
    <outlinePr summaryBelow="0" summaryRight="0"/>
  </sheetPr>
  <dimension ref="A2:Z1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","315"," - ","Bookstore Retail")</f>
        <v>Department 315 - Bookstore Retail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505355.36000000004</v>
      </c>
      <c r="E12" s="5"/>
      <c r="F12" s="13"/>
      <c r="G12" s="5"/>
      <c r="H12" s="5">
        <f>SUM(OSRRefH13x_0)</f>
        <v>99746.989999999991</v>
      </c>
      <c r="I12" s="5"/>
      <c r="J12" s="13"/>
      <c r="K12" s="5"/>
      <c r="L12" s="5">
        <f t="shared" ref="L12:L54" si="0">+D12-H12</f>
        <v>405608.37000000005</v>
      </c>
      <c r="M12" s="5"/>
      <c r="N12" s="13">
        <f t="shared" ref="N12:N54" si="1">IF(H12=0,0,L12/H12)</f>
        <v>4.0663720278677093</v>
      </c>
      <c r="O12" s="11"/>
      <c r="P12" s="5">
        <f>SUM(OSRRefP13x_0)</f>
        <v>2518598.7599999998</v>
      </c>
      <c r="Q12" s="5"/>
      <c r="R12" s="13"/>
      <c r="S12" s="5"/>
      <c r="T12" s="5">
        <f>SUM(OSRRefT13x_0)</f>
        <v>1126889.72</v>
      </c>
      <c r="U12" s="5"/>
      <c r="V12" s="13"/>
      <c r="W12" s="5"/>
      <c r="X12" s="5">
        <f t="shared" ref="X12:X54" si="2">+P12-T12</f>
        <v>1391709.0399999998</v>
      </c>
      <c r="Y12" s="5"/>
      <c r="Z12" s="13">
        <f t="shared" ref="Z12:Z54" si="3">IF(T12=0,0,X12/T12)</f>
        <v>1.2350002092485144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--453352.52</f>
        <v>453352.52</v>
      </c>
      <c r="E13" s="3"/>
      <c r="F13" s="20"/>
      <c r="G13" s="3"/>
      <c r="H13" s="3">
        <f>-6379.2</f>
        <v>-6379.2</v>
      </c>
      <c r="I13" s="3"/>
      <c r="J13" s="20"/>
      <c r="K13" s="3"/>
      <c r="L13" s="3">
        <f t="shared" si="0"/>
        <v>459731.72000000003</v>
      </c>
      <c r="M13" s="3"/>
      <c r="N13" s="20">
        <f t="shared" si="1"/>
        <v>-72.067299974918498</v>
      </c>
      <c r="O13" s="12"/>
      <c r="P13" s="3">
        <f>--2338383.16</f>
        <v>2338383.16</v>
      </c>
      <c r="Q13" s="3"/>
      <c r="R13" s="20"/>
      <c r="S13" s="3"/>
      <c r="T13" s="3">
        <f>-94154.36</f>
        <v>-94154.36</v>
      </c>
      <c r="U13" s="3"/>
      <c r="V13" s="20"/>
      <c r="W13" s="3"/>
      <c r="X13" s="3">
        <f t="shared" si="2"/>
        <v>2432537.52</v>
      </c>
      <c r="Y13" s="3"/>
      <c r="Z13" s="20">
        <f t="shared" si="3"/>
        <v>-25.835633315334523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--221.99</f>
        <v>221.99</v>
      </c>
      <c r="U14" s="3"/>
      <c r="V14" s="20"/>
      <c r="W14" s="3"/>
      <c r="X14" s="3">
        <f t="shared" si="2"/>
        <v>-221.99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--5765.33</f>
        <v>5765.33</v>
      </c>
      <c r="I15" s="3"/>
      <c r="J15" s="20"/>
      <c r="K15" s="3"/>
      <c r="L15" s="3">
        <f t="shared" si="0"/>
        <v>-5765.33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--46160.12</f>
        <v>46160.12</v>
      </c>
      <c r="U15" s="3"/>
      <c r="V15" s="20"/>
      <c r="W15" s="3"/>
      <c r="X15" s="3">
        <f t="shared" si="2"/>
        <v>-46160.12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--1924.8</f>
        <v>1924.8</v>
      </c>
      <c r="I16" s="3"/>
      <c r="J16" s="20"/>
      <c r="K16" s="3"/>
      <c r="L16" s="3">
        <f t="shared" si="0"/>
        <v>-1924.8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--28368.33</f>
        <v>28368.33</v>
      </c>
      <c r="U16" s="3"/>
      <c r="V16" s="20"/>
      <c r="W16" s="3"/>
      <c r="X16" s="3">
        <f t="shared" si="2"/>
        <v>-28368.33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--593.6</f>
        <v>593.6</v>
      </c>
      <c r="I17" s="3"/>
      <c r="J17" s="20"/>
      <c r="K17" s="3"/>
      <c r="L17" s="3">
        <f t="shared" si="0"/>
        <v>-593.6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--2806.29</f>
        <v>2806.29</v>
      </c>
      <c r="U17" s="3"/>
      <c r="V17" s="20"/>
      <c r="W17" s="3"/>
      <c r="X17" s="3">
        <f t="shared" si="2"/>
        <v>-2806.29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--55485.96</f>
        <v>55485.96</v>
      </c>
      <c r="I19" s="3"/>
      <c r="J19" s="20"/>
      <c r="K19" s="3"/>
      <c r="L19" s="3">
        <f t="shared" si="0"/>
        <v>-55485.96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--517607.94</f>
        <v>517607.94</v>
      </c>
      <c r="U19" s="3"/>
      <c r="V19" s="20"/>
      <c r="W19" s="3"/>
      <c r="X19" s="3">
        <f t="shared" si="2"/>
        <v>-517607.94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--20923.68</f>
        <v>20923.68</v>
      </c>
      <c r="I20" s="3"/>
      <c r="J20" s="20"/>
      <c r="K20" s="3"/>
      <c r="L20" s="3">
        <f t="shared" si="0"/>
        <v>-20923.68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--160219</f>
        <v>160219</v>
      </c>
      <c r="U20" s="3"/>
      <c r="V20" s="20"/>
      <c r="W20" s="3"/>
      <c r="X20" s="3">
        <f t="shared" si="2"/>
        <v>-160219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--3907.64</f>
        <v>3907.64</v>
      </c>
      <c r="I21" s="3"/>
      <c r="J21" s="20"/>
      <c r="K21" s="3"/>
      <c r="L21" s="3">
        <f t="shared" si="0"/>
        <v>-3907.64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--56936.61</f>
        <v>56936.61</v>
      </c>
      <c r="U21" s="3"/>
      <c r="V21" s="20"/>
      <c r="W21" s="3"/>
      <c r="X21" s="3">
        <f t="shared" si="2"/>
        <v>-56936.61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--4840.69</f>
        <v>4840.6899999999996</v>
      </c>
      <c r="I22" s="3"/>
      <c r="J22" s="20"/>
      <c r="K22" s="3"/>
      <c r="L22" s="3">
        <f t="shared" si="0"/>
        <v>-4840.6899999999996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--114555.94</f>
        <v>114555.94</v>
      </c>
      <c r="U22" s="3"/>
      <c r="V22" s="20"/>
      <c r="W22" s="3"/>
      <c r="X22" s="3">
        <f t="shared" si="2"/>
        <v>-114555.94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--1799.2</f>
        <v>1799.2</v>
      </c>
      <c r="I23" s="3"/>
      <c r="J23" s="20"/>
      <c r="K23" s="3"/>
      <c r="L23" s="3">
        <f t="shared" si="0"/>
        <v>-1799.2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--27401.65</f>
        <v>27401.65</v>
      </c>
      <c r="U23" s="3"/>
      <c r="V23" s="20"/>
      <c r="W23" s="3"/>
      <c r="X23" s="3">
        <f t="shared" si="2"/>
        <v>-27401.65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--10039.9</f>
        <v>10039.9</v>
      </c>
      <c r="I24" s="3"/>
      <c r="J24" s="20"/>
      <c r="K24" s="3"/>
      <c r="L24" s="3">
        <f t="shared" si="0"/>
        <v>-10039.9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--135163.2</f>
        <v>135163.20000000001</v>
      </c>
      <c r="U24" s="3"/>
      <c r="V24" s="20"/>
      <c r="W24" s="3"/>
      <c r="X24" s="3">
        <f t="shared" si="2"/>
        <v>-135163.20000000001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--71929.49</f>
        <v>71929.490000000005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71929.490000000005</v>
      </c>
      <c r="M25" s="3"/>
      <c r="N25" s="20">
        <f t="shared" si="1"/>
        <v>0</v>
      </c>
      <c r="O25" s="12"/>
      <c r="P25" s="3">
        <f>--317454.01</f>
        <v>317454.01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317454.01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--472.19</f>
        <v>472.19</v>
      </c>
      <c r="I27" s="3"/>
      <c r="J27" s="20"/>
      <c r="K27" s="3"/>
      <c r="L27" s="3">
        <f t="shared" si="0"/>
        <v>-472.19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--6217.36</f>
        <v>6217.36</v>
      </c>
      <c r="U27" s="3"/>
      <c r="V27" s="20"/>
      <c r="W27" s="3"/>
      <c r="X27" s="3">
        <f t="shared" si="2"/>
        <v>-6217.36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--9.08</f>
        <v>9.08</v>
      </c>
      <c r="I28" s="3"/>
      <c r="J28" s="20"/>
      <c r="K28" s="3"/>
      <c r="L28" s="3">
        <f t="shared" si="0"/>
        <v>-9.08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--38.58</f>
        <v>38.58</v>
      </c>
      <c r="U28" s="3"/>
      <c r="V28" s="20"/>
      <c r="W28" s="3"/>
      <c r="X28" s="3">
        <f t="shared" si="2"/>
        <v>-38.58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--930.38</f>
        <v>930.38</v>
      </c>
      <c r="I29" s="3"/>
      <c r="J29" s="20"/>
      <c r="K29" s="3"/>
      <c r="L29" s="3">
        <f t="shared" si="0"/>
        <v>-930.38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--7685.99</f>
        <v>7685.99</v>
      </c>
      <c r="U29" s="3"/>
      <c r="V29" s="20"/>
      <c r="W29" s="3"/>
      <c r="X29" s="3">
        <f t="shared" si="2"/>
        <v>-7685.99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--59.25</f>
        <v>59.25</v>
      </c>
      <c r="U33" s="3"/>
      <c r="V33" s="20"/>
      <c r="W33" s="3"/>
      <c r="X33" s="3">
        <f t="shared" si="2"/>
        <v>-59.25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--1947.86</f>
        <v>1947.86</v>
      </c>
      <c r="I34" s="3"/>
      <c r="J34" s="20"/>
      <c r="K34" s="3"/>
      <c r="L34" s="3">
        <f t="shared" si="0"/>
        <v>-1947.86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--114959.5</f>
        <v>114959.5</v>
      </c>
      <c r="U34" s="3"/>
      <c r="V34" s="20"/>
      <c r="W34" s="3"/>
      <c r="X34" s="3">
        <f t="shared" si="2"/>
        <v>-114959.5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--620.86</f>
        <v>620.86</v>
      </c>
      <c r="I35" s="3"/>
      <c r="J35" s="20"/>
      <c r="K35" s="3"/>
      <c r="L35" s="3">
        <f t="shared" si="0"/>
        <v>-620.86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--7234.38</f>
        <v>7234.38</v>
      </c>
      <c r="U35" s="3"/>
      <c r="V35" s="20"/>
      <c r="W35" s="3"/>
      <c r="X35" s="3">
        <f t="shared" si="2"/>
        <v>-7234.38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--4.58</f>
        <v>4.58</v>
      </c>
      <c r="I36" s="3"/>
      <c r="J36" s="20"/>
      <c r="K36" s="3"/>
      <c r="L36" s="3">
        <f t="shared" si="0"/>
        <v>-4.58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--1153.88</f>
        <v>1153.8800000000001</v>
      </c>
      <c r="U36" s="3"/>
      <c r="V36" s="20"/>
      <c r="W36" s="3"/>
      <c r="X36" s="3">
        <f t="shared" si="2"/>
        <v>-1153.8800000000001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--149.92</f>
        <v>149.91999999999999</v>
      </c>
      <c r="I37" s="3"/>
      <c r="J37" s="20"/>
      <c r="K37" s="3"/>
      <c r="L37" s="3">
        <f t="shared" si="0"/>
        <v>-149.91999999999999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--2119.66</f>
        <v>2119.66</v>
      </c>
      <c r="U37" s="3"/>
      <c r="V37" s="20"/>
      <c r="W37" s="3"/>
      <c r="X37" s="3">
        <f t="shared" si="2"/>
        <v>-2119.66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--39.95</f>
        <v>39.950000000000003</v>
      </c>
      <c r="I38" s="3"/>
      <c r="J38" s="20"/>
      <c r="K38" s="3"/>
      <c r="L38" s="3">
        <f t="shared" si="0"/>
        <v>-39.950000000000003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--649.35</f>
        <v>649.35</v>
      </c>
      <c r="U38" s="3"/>
      <c r="V38" s="20"/>
      <c r="W38" s="3"/>
      <c r="X38" s="3">
        <f t="shared" si="2"/>
        <v>-649.35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0</f>
        <v>0</v>
      </c>
      <c r="I39" s="3"/>
      <c r="J39" s="20"/>
      <c r="K39" s="3"/>
      <c r="L39" s="3">
        <f t="shared" si="0"/>
        <v>0</v>
      </c>
      <c r="M39" s="3"/>
      <c r="N39" s="20">
        <f t="shared" si="1"/>
        <v>0</v>
      </c>
      <c r="O39" s="12"/>
      <c r="P39" s="3">
        <f>0</f>
        <v>0</v>
      </c>
      <c r="Q39" s="3"/>
      <c r="R39" s="20"/>
      <c r="S39" s="3"/>
      <c r="T39" s="3">
        <f>--53709.09</f>
        <v>53709.09</v>
      </c>
      <c r="U39" s="3"/>
      <c r="V39" s="20"/>
      <c r="W39" s="3"/>
      <c r="X39" s="3">
        <f t="shared" si="2"/>
        <v>-53709.09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-12311.98</f>
        <v>-12311.98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-12311.98</v>
      </c>
      <c r="M40" s="3"/>
      <c r="N40" s="20">
        <f t="shared" si="1"/>
        <v>0</v>
      </c>
      <c r="O40" s="12"/>
      <c r="P40" s="3">
        <f>-67492.47</f>
        <v>-67492.47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-67492.47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-6.38</f>
        <v>-6.38</v>
      </c>
      <c r="U41" s="3"/>
      <c r="V41" s="20"/>
      <c r="W41" s="3"/>
      <c r="X41" s="3">
        <f t="shared" si="2"/>
        <v>6.38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-19.05</f>
        <v>-19.05</v>
      </c>
      <c r="I42" s="3"/>
      <c r="J42" s="20"/>
      <c r="K42" s="3"/>
      <c r="L42" s="3">
        <f t="shared" si="0"/>
        <v>19.05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-578.55</f>
        <v>-578.54999999999995</v>
      </c>
      <c r="U42" s="3"/>
      <c r="V42" s="20"/>
      <c r="W42" s="3"/>
      <c r="X42" s="3">
        <f t="shared" si="2"/>
        <v>578.54999999999995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-10.71</f>
        <v>-10.71</v>
      </c>
      <c r="I43" s="3"/>
      <c r="J43" s="20"/>
      <c r="K43" s="3"/>
      <c r="L43" s="3">
        <f t="shared" si="0"/>
        <v>10.71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-12517.04</f>
        <v>-12517.04</v>
      </c>
      <c r="U43" s="3"/>
      <c r="V43" s="20"/>
      <c r="W43" s="3"/>
      <c r="X43" s="3">
        <f t="shared" si="2"/>
        <v>12517.04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-2608.69</f>
        <v>-2608.69</v>
      </c>
      <c r="I44" s="3"/>
      <c r="J44" s="20"/>
      <c r="K44" s="3"/>
      <c r="L44" s="3">
        <f t="shared" si="0"/>
        <v>2608.69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-23793.23</f>
        <v>-23793.23</v>
      </c>
      <c r="U44" s="3"/>
      <c r="V44" s="20"/>
      <c r="W44" s="3"/>
      <c r="X44" s="3">
        <f t="shared" si="2"/>
        <v>23793.23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-226.3</f>
        <v>-226.3</v>
      </c>
      <c r="I45" s="3"/>
      <c r="J45" s="20"/>
      <c r="K45" s="3"/>
      <c r="L45" s="3">
        <f t="shared" si="0"/>
        <v>226.3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-3650.31</f>
        <v>-3650.31</v>
      </c>
      <c r="U45" s="3"/>
      <c r="V45" s="20"/>
      <c r="W45" s="3"/>
      <c r="X45" s="3">
        <f t="shared" si="2"/>
        <v>3650.31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0"/>
        <v>0</v>
      </c>
      <c r="M46" s="3"/>
      <c r="N46" s="20">
        <f t="shared" si="1"/>
        <v>0</v>
      </c>
      <c r="O46" s="12"/>
      <c r="P46" s="3">
        <f>0</f>
        <v>0</v>
      </c>
      <c r="Q46" s="3"/>
      <c r="R46" s="20"/>
      <c r="S46" s="3"/>
      <c r="T46" s="3">
        <f>-1442.63</f>
        <v>-1442.63</v>
      </c>
      <c r="U46" s="3"/>
      <c r="V46" s="20"/>
      <c r="W46" s="3"/>
      <c r="X46" s="3">
        <f t="shared" si="2"/>
        <v>1442.63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-369.81</f>
        <v>-369.81</v>
      </c>
      <c r="I47" s="3"/>
      <c r="J47" s="20"/>
      <c r="K47" s="3"/>
      <c r="L47" s="3">
        <f t="shared" si="0"/>
        <v>369.81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-5369.6</f>
        <v>-5369.6</v>
      </c>
      <c r="U47" s="3"/>
      <c r="V47" s="20"/>
      <c r="W47" s="3"/>
      <c r="X47" s="3">
        <f t="shared" si="2"/>
        <v>5369.6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-9.99</f>
        <v>-9.99</v>
      </c>
      <c r="I48" s="3"/>
      <c r="J48" s="20"/>
      <c r="K48" s="3"/>
      <c r="L48" s="3">
        <f t="shared" si="0"/>
        <v>9.99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-964.91</f>
        <v>-964.91</v>
      </c>
      <c r="U48" s="3"/>
      <c r="V48" s="20"/>
      <c r="W48" s="3"/>
      <c r="X48" s="3">
        <f t="shared" si="2"/>
        <v>964.91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-7.98</f>
        <v>-7.98</v>
      </c>
      <c r="I49" s="3"/>
      <c r="J49" s="20"/>
      <c r="K49" s="3"/>
      <c r="L49" s="3">
        <f t="shared" si="0"/>
        <v>7.98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-11346.59</f>
        <v>-11346.59</v>
      </c>
      <c r="U49" s="3"/>
      <c r="V49" s="20"/>
      <c r="W49" s="3"/>
      <c r="X49" s="3">
        <f t="shared" si="2"/>
        <v>11346.59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-245.74</f>
        <v>-245.74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-245.74</v>
      </c>
      <c r="M50" s="3"/>
      <c r="N50" s="20">
        <f t="shared" si="1"/>
        <v>0</v>
      </c>
      <c r="O50" s="12"/>
      <c r="P50" s="3">
        <f>-1898.53</f>
        <v>-1898.53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-1898.53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-76.9</f>
        <v>-76.900000000000006</v>
      </c>
      <c r="I51" s="3"/>
      <c r="J51" s="20"/>
      <c r="K51" s="3"/>
      <c r="L51" s="3">
        <f t="shared" si="0"/>
        <v>76.900000000000006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-2292.84</f>
        <v>-2292.84</v>
      </c>
      <c r="U51" s="3"/>
      <c r="V51" s="20"/>
      <c r="W51" s="3"/>
      <c r="X51" s="3">
        <f t="shared" si="2"/>
        <v>2292.84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0</v>
      </c>
      <c r="M52" s="3"/>
      <c r="N52" s="20">
        <f t="shared" si="1"/>
        <v>0</v>
      </c>
      <c r="O52" s="12"/>
      <c r="P52" s="3">
        <f>0</f>
        <v>0</v>
      </c>
      <c r="Q52" s="3"/>
      <c r="R52" s="20"/>
      <c r="S52" s="3"/>
      <c r="T52" s="3">
        <f>-351.44</f>
        <v>-351.44</v>
      </c>
      <c r="U52" s="3"/>
      <c r="V52" s="20"/>
      <c r="W52" s="3"/>
      <c r="X52" s="3">
        <f t="shared" si="2"/>
        <v>351.44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-7368.93</f>
        <v>-7368.93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-7368.93</v>
      </c>
      <c r="M54" s="3"/>
      <c r="N54" s="20">
        <f t="shared" si="1"/>
        <v>0</v>
      </c>
      <c r="O54" s="12"/>
      <c r="P54" s="3">
        <f>-67847.41</f>
        <v>-67847.41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-67847.41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7" t="s">
        <v>287</v>
      </c>
      <c r="C56" s="11"/>
      <c r="D56" s="5">
        <f>SUM(OSRRefD16x_0)</f>
        <v>228403.65</v>
      </c>
      <c r="E56" s="5"/>
      <c r="F56" s="13">
        <f t="shared" ref="F56:F81" si="4">IF(D$12=0,0,D56/D$12)</f>
        <v>0.45196641428716611</v>
      </c>
      <c r="G56" s="5"/>
      <c r="H56" s="5">
        <f>SUM(OSRRefH16x_0)</f>
        <v>52970.999999999993</v>
      </c>
      <c r="I56" s="5"/>
      <c r="J56" s="13">
        <f t="shared" ref="J56:J81" si="5">IF(H$12=0,0,H56/H$12)</f>
        <v>0.5310536187608268</v>
      </c>
      <c r="K56" s="5"/>
      <c r="L56" s="5">
        <f t="shared" ref="L56:L81" si="6">+D56-H56</f>
        <v>175432.65</v>
      </c>
      <c r="M56" s="5"/>
      <c r="N56" s="13">
        <f t="shared" ref="N56:N81" si="7">IF(H56=0,0,L56/H56)</f>
        <v>3.3118621509882771</v>
      </c>
      <c r="O56" s="11"/>
      <c r="P56" s="5">
        <f>SUM(OSRRefP16x_0)</f>
        <v>1220511.3500000003</v>
      </c>
      <c r="Q56" s="5"/>
      <c r="R56" s="13">
        <f t="shared" ref="R56:R81" si="8">IF(P$12=0,0,P56/P$12)</f>
        <v>0.48459936111459073</v>
      </c>
      <c r="S56" s="5"/>
      <c r="T56" s="5">
        <f>SUM(OSRRefT16x_0)</f>
        <v>663002.54000000015</v>
      </c>
      <c r="U56" s="5"/>
      <c r="V56" s="13">
        <f t="shared" ref="V56:V81" si="9">IF(T$12=0,0,T56/T$12)</f>
        <v>0.58834731405660545</v>
      </c>
      <c r="W56" s="5"/>
      <c r="X56" s="5">
        <f t="shared" ref="X56:X81" si="10">+P56-T56</f>
        <v>557508.81000000017</v>
      </c>
      <c r="Y56" s="5"/>
      <c r="Z56" s="13">
        <f t="shared" ref="Z56:Z81" si="11">IF(T56=0,0,X56/T56)</f>
        <v>0.84088487805793333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205846.32</v>
      </c>
      <c r="E57" s="3"/>
      <c r="F57" s="20">
        <f t="shared" si="4"/>
        <v>0.40732984409228384</v>
      </c>
      <c r="G57" s="3"/>
      <c r="H57" s="3"/>
      <c r="I57" s="3"/>
      <c r="J57" s="20">
        <f t="shared" si="5"/>
        <v>0</v>
      </c>
      <c r="K57" s="3"/>
      <c r="L57" s="3">
        <f t="shared" si="6"/>
        <v>205846.32</v>
      </c>
      <c r="M57" s="3"/>
      <c r="N57" s="20">
        <f t="shared" si="7"/>
        <v>0</v>
      </c>
      <c r="O57" s="12"/>
      <c r="P57" s="3">
        <v>1416365.59</v>
      </c>
      <c r="Q57" s="3"/>
      <c r="R57" s="20">
        <f t="shared" si="8"/>
        <v>0.5623625376516902</v>
      </c>
      <c r="S57" s="3"/>
      <c r="T57" s="3"/>
      <c r="U57" s="3"/>
      <c r="V57" s="20">
        <f t="shared" si="9"/>
        <v>0</v>
      </c>
      <c r="W57" s="3"/>
      <c r="X57" s="3">
        <f t="shared" si="10"/>
        <v>1416365.59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5.318089156053353E-4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10</v>
      </c>
      <c r="U59" s="3"/>
      <c r="V59" s="20">
        <f t="shared" si="9"/>
        <v>8.8739828064098409E-6</v>
      </c>
      <c r="W59" s="3"/>
      <c r="X59" s="3">
        <f t="shared" si="10"/>
        <v>-10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>
        <v>18175.88</v>
      </c>
      <c r="U60" s="3"/>
      <c r="V60" s="20">
        <f t="shared" si="9"/>
        <v>1.6129244661136851E-2</v>
      </c>
      <c r="W60" s="3"/>
      <c r="X60" s="3">
        <f t="shared" si="10"/>
        <v>-18175.88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833.13</v>
      </c>
      <c r="I61" s="3"/>
      <c r="J61" s="20">
        <f t="shared" si="5"/>
        <v>8.3524324894415376E-3</v>
      </c>
      <c r="K61" s="3"/>
      <c r="L61" s="3">
        <f t="shared" si="6"/>
        <v>-833.13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749.73</v>
      </c>
      <c r="U61" s="3"/>
      <c r="V61" s="20">
        <f t="shared" si="9"/>
        <v>6.6530911294496501E-4</v>
      </c>
      <c r="W61" s="3"/>
      <c r="X61" s="3">
        <f t="shared" si="10"/>
        <v>-749.73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>
        <v>271.45999999999998</v>
      </c>
      <c r="I62" s="3"/>
      <c r="J62" s="20">
        <f t="shared" si="5"/>
        <v>2.7214856307944731E-3</v>
      </c>
      <c r="K62" s="3"/>
      <c r="L62" s="3">
        <f t="shared" si="6"/>
        <v>-271.45999999999998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4.7423895214875151E-3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26599.9</v>
      </c>
      <c r="I63" s="3"/>
      <c r="J63" s="20">
        <f t="shared" si="5"/>
        <v>0.26667371115659733</v>
      </c>
      <c r="K63" s="3"/>
      <c r="L63" s="3">
        <f t="shared" si="6"/>
        <v>-26599.9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193971.09</v>
      </c>
      <c r="U63" s="3"/>
      <c r="V63" s="20">
        <f t="shared" si="9"/>
        <v>0.17212961176005759</v>
      </c>
      <c r="W63" s="3"/>
      <c r="X63" s="3">
        <f t="shared" si="10"/>
        <v>-193971.09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26592.81</v>
      </c>
      <c r="I64" s="3"/>
      <c r="J64" s="20">
        <f t="shared" si="5"/>
        <v>0.26660263131749645</v>
      </c>
      <c r="K64" s="3"/>
      <c r="L64" s="3">
        <f t="shared" si="6"/>
        <v>-26592.81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67356.210000000006</v>
      </c>
      <c r="U64" s="3"/>
      <c r="V64" s="20">
        <f t="shared" si="9"/>
        <v>5.9771784944493069E-2</v>
      </c>
      <c r="W64" s="3"/>
      <c r="X64" s="3">
        <f t="shared" si="10"/>
        <v>-67356.210000000006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>
        <v>1196.2</v>
      </c>
      <c r="I65" s="3"/>
      <c r="J65" s="20">
        <f t="shared" si="5"/>
        <v>1.1992341824049029E-2</v>
      </c>
      <c r="K65" s="3"/>
      <c r="L65" s="3">
        <f t="shared" si="6"/>
        <v>-1196.2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11072.14</v>
      </c>
      <c r="U65" s="3"/>
      <c r="V65" s="20">
        <f t="shared" si="9"/>
        <v>9.8253979990162651E-3</v>
      </c>
      <c r="W65" s="3"/>
      <c r="X65" s="3">
        <f t="shared" si="10"/>
        <v>-11072.14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/>
      <c r="I66" s="3"/>
      <c r="J66" s="20">
        <f t="shared" si="5"/>
        <v>0</v>
      </c>
      <c r="K66" s="3"/>
      <c r="L66" s="3">
        <f t="shared" si="6"/>
        <v>0</v>
      </c>
      <c r="M66" s="3"/>
      <c r="N66" s="20">
        <f t="shared" si="7"/>
        <v>0</v>
      </c>
      <c r="O66" s="12"/>
      <c r="P66" s="3">
        <v>0</v>
      </c>
      <c r="Q66" s="3"/>
      <c r="R66" s="20">
        <f t="shared" si="8"/>
        <v>0</v>
      </c>
      <c r="S66" s="3"/>
      <c r="T66" s="3">
        <v>55364.33</v>
      </c>
      <c r="U66" s="3"/>
      <c r="V66" s="20">
        <f t="shared" si="9"/>
        <v>4.9130211250840057E-2</v>
      </c>
      <c r="W66" s="3"/>
      <c r="X66" s="3">
        <f t="shared" si="10"/>
        <v>-55364.33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/>
      <c r="I67" s="3"/>
      <c r="J67" s="20">
        <f t="shared" si="5"/>
        <v>0</v>
      </c>
      <c r="K67" s="3"/>
      <c r="L67" s="3">
        <f t="shared" si="6"/>
        <v>0</v>
      </c>
      <c r="M67" s="3"/>
      <c r="N67" s="20">
        <f t="shared" si="7"/>
        <v>0</v>
      </c>
      <c r="O67" s="12"/>
      <c r="P67" s="3">
        <v>0</v>
      </c>
      <c r="Q67" s="3"/>
      <c r="R67" s="20">
        <f t="shared" si="8"/>
        <v>0</v>
      </c>
      <c r="S67" s="3"/>
      <c r="T67" s="3">
        <v>1064.83</v>
      </c>
      <c r="U67" s="3"/>
      <c r="V67" s="20">
        <f t="shared" si="9"/>
        <v>9.4492831117493905E-4</v>
      </c>
      <c r="W67" s="3"/>
      <c r="X67" s="3">
        <f t="shared" si="10"/>
        <v>-1064.83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1909.13</v>
      </c>
      <c r="I68" s="3"/>
      <c r="J68" s="20">
        <f t="shared" si="5"/>
        <v>1.913972541928333E-2</v>
      </c>
      <c r="K68" s="3"/>
      <c r="L68" s="3">
        <f t="shared" si="6"/>
        <v>-1909.13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95373.51</v>
      </c>
      <c r="U68" s="3"/>
      <c r="V68" s="20">
        <f t="shared" si="9"/>
        <v>8.4634288792695703E-2</v>
      </c>
      <c r="W68" s="3"/>
      <c r="X68" s="3">
        <f t="shared" si="10"/>
        <v>-95373.51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","5200"," - ","PURCHASES OFFSET")</f>
        <v xml:space="preserve">          5200 - PURCHASES OFFSET</v>
      </c>
      <c r="C69" s="12"/>
      <c r="D69" s="3">
        <v>-215663.88</v>
      </c>
      <c r="E69" s="3"/>
      <c r="F69" s="20">
        <f t="shared" si="4"/>
        <v>-0.42675688648083199</v>
      </c>
      <c r="G69" s="3"/>
      <c r="H69" s="3">
        <v>-58063.03</v>
      </c>
      <c r="I69" s="3"/>
      <c r="J69" s="20">
        <f t="shared" si="5"/>
        <v>-0.58210307900017844</v>
      </c>
      <c r="K69" s="3"/>
      <c r="L69" s="3">
        <f t="shared" si="6"/>
        <v>-157600.85</v>
      </c>
      <c r="M69" s="3"/>
      <c r="N69" s="20">
        <f t="shared" si="7"/>
        <v>2.714306332273738</v>
      </c>
      <c r="O69" s="12"/>
      <c r="P69" s="3">
        <v>-1468471.41</v>
      </c>
      <c r="Q69" s="3"/>
      <c r="R69" s="20">
        <f t="shared" si="8"/>
        <v>-0.58305095409480789</v>
      </c>
      <c r="S69" s="3"/>
      <c r="T69" s="3">
        <v>-467186.36</v>
      </c>
      <c r="U69" s="3"/>
      <c r="V69" s="20">
        <f t="shared" si="9"/>
        <v>-0.41458037260291986</v>
      </c>
      <c r="W69" s="3"/>
      <c r="X69" s="3">
        <f t="shared" si="10"/>
        <v>-1001285.0499999999</v>
      </c>
      <c r="Y69" s="3"/>
      <c r="Z69" s="20">
        <f t="shared" si="11"/>
        <v>2.1432240658738411</v>
      </c>
    </row>
    <row r="70" spans="1:26" s="69" customFormat="1" ht="15" hidden="1" customHeight="1" outlineLevel="1" x14ac:dyDescent="0.3">
      <c r="A70" s="42"/>
      <c r="B70" s="12" t="str">
        <f>CONCATENATE("          ","5300"," - ","COG$ OFFSET")</f>
        <v xml:space="preserve">          5300 - COG$ OFFSET</v>
      </c>
      <c r="C70" s="12"/>
      <c r="D70" s="3">
        <v>228403.65</v>
      </c>
      <c r="E70" s="3"/>
      <c r="F70" s="20">
        <f t="shared" si="4"/>
        <v>0.45196641428716611</v>
      </c>
      <c r="G70" s="3"/>
      <c r="H70" s="3">
        <v>52971</v>
      </c>
      <c r="I70" s="3"/>
      <c r="J70" s="20">
        <f t="shared" si="5"/>
        <v>0.5310536187608268</v>
      </c>
      <c r="K70" s="3"/>
      <c r="L70" s="3">
        <f t="shared" si="6"/>
        <v>175432.65</v>
      </c>
      <c r="M70" s="3"/>
      <c r="N70" s="20">
        <f t="shared" si="7"/>
        <v>3.3118621509882766</v>
      </c>
      <c r="O70" s="12"/>
      <c r="P70" s="3">
        <v>1220511.3500000001</v>
      </c>
      <c r="Q70" s="3"/>
      <c r="R70" s="20">
        <f t="shared" si="8"/>
        <v>0.48459936111459062</v>
      </c>
      <c r="S70" s="3"/>
      <c r="T70" s="3">
        <v>662086</v>
      </c>
      <c r="U70" s="3"/>
      <c r="V70" s="20">
        <f t="shared" si="9"/>
        <v>0.58753397803646656</v>
      </c>
      <c r="W70" s="3"/>
      <c r="X70" s="3">
        <f t="shared" si="10"/>
        <v>558425.35000000009</v>
      </c>
      <c r="Y70" s="3"/>
      <c r="Z70" s="20">
        <f t="shared" si="11"/>
        <v>0.84343325489437937</v>
      </c>
    </row>
    <row r="71" spans="1:26" s="69" customFormat="1" ht="15" hidden="1" customHeight="1" outlineLevel="1" x14ac:dyDescent="0.3">
      <c r="A71" s="42"/>
      <c r="B71" s="12" t="str">
        <f>CONCATENATE("          ","5500"," - ","FREIGHT-IN")</f>
        <v xml:space="preserve">          5500 - FREIGHT-IN</v>
      </c>
      <c r="C71" s="12"/>
      <c r="D71" s="3">
        <v>9817.56</v>
      </c>
      <c r="E71" s="3"/>
      <c r="F71" s="20">
        <f t="shared" si="4"/>
        <v>1.9427042388548126E-2</v>
      </c>
      <c r="G71" s="3"/>
      <c r="H71" s="3"/>
      <c r="I71" s="3"/>
      <c r="J71" s="20">
        <f t="shared" si="5"/>
        <v>0</v>
      </c>
      <c r="K71" s="3"/>
      <c r="L71" s="3">
        <f t="shared" si="6"/>
        <v>9817.56</v>
      </c>
      <c r="M71" s="3"/>
      <c r="N71" s="20">
        <f t="shared" si="7"/>
        <v>0</v>
      </c>
      <c r="O71" s="12"/>
      <c r="P71" s="3">
        <v>52105.82</v>
      </c>
      <c r="Q71" s="3"/>
      <c r="R71" s="20">
        <f t="shared" si="8"/>
        <v>2.0688416443117762E-2</v>
      </c>
      <c r="S71" s="3"/>
      <c r="T71" s="3"/>
      <c r="U71" s="3"/>
      <c r="V71" s="20">
        <f t="shared" si="9"/>
        <v>0</v>
      </c>
      <c r="W71" s="3"/>
      <c r="X71" s="3">
        <f t="shared" si="10"/>
        <v>52105.82</v>
      </c>
      <c r="Y71" s="3"/>
      <c r="Z71" s="20">
        <f t="shared" si="11"/>
        <v>0</v>
      </c>
    </row>
    <row r="72" spans="1:26" s="69" customFormat="1" ht="15" hidden="1" customHeight="1" outlineLevel="1" x14ac:dyDescent="0.3">
      <c r="A72" s="42"/>
      <c r="B72" s="12" t="str">
        <f>CONCATENATE("          ","5525"," - ","FREIGHT-IN-TEST FORMS")</f>
        <v xml:space="preserve">          5525 - FREIGHT-IN-TEST FORMS</v>
      </c>
      <c r="C72" s="12"/>
      <c r="D72" s="3"/>
      <c r="E72" s="3"/>
      <c r="F72" s="20">
        <f t="shared" si="4"/>
        <v>0</v>
      </c>
      <c r="G72" s="3"/>
      <c r="H72" s="3"/>
      <c r="I72" s="3"/>
      <c r="J72" s="20">
        <f t="shared" si="5"/>
        <v>0</v>
      </c>
      <c r="K72" s="3"/>
      <c r="L72" s="3">
        <f t="shared" si="6"/>
        <v>0</v>
      </c>
      <c r="M72" s="3"/>
      <c r="N72" s="20">
        <f t="shared" si="7"/>
        <v>0</v>
      </c>
      <c r="O72" s="12"/>
      <c r="P72" s="3"/>
      <c r="Q72" s="3"/>
      <c r="R72" s="20">
        <f t="shared" si="8"/>
        <v>0</v>
      </c>
      <c r="S72" s="3"/>
      <c r="T72" s="3">
        <v>48.14</v>
      </c>
      <c r="U72" s="3"/>
      <c r="V72" s="20">
        <f t="shared" si="9"/>
        <v>4.2719353230056975E-5</v>
      </c>
      <c r="W72" s="3"/>
      <c r="X72" s="3">
        <f t="shared" si="10"/>
        <v>-48.14</v>
      </c>
      <c r="Y72" s="3"/>
      <c r="Z72" s="20">
        <f t="shared" si="11"/>
        <v>-1</v>
      </c>
    </row>
    <row r="73" spans="1:26" s="69" customFormat="1" ht="15" hidden="1" customHeight="1" outlineLevel="1" x14ac:dyDescent="0.3">
      <c r="A73" s="42"/>
      <c r="B73" s="12" t="str">
        <f>CONCATENATE("          ","5526"," - ","FREIGHT-IN-WRITING INSTRUMENTS")</f>
        <v xml:space="preserve">          5526 - FREIGHT-IN-WRITING INSTRUMENTS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0</v>
      </c>
      <c r="U73" s="3"/>
      <c r="V73" s="20">
        <f t="shared" si="9"/>
        <v>0</v>
      </c>
      <c r="W73" s="3"/>
      <c r="X73" s="3">
        <f t="shared" si="10"/>
        <v>0</v>
      </c>
      <c r="Y73" s="3"/>
      <c r="Z73" s="20">
        <f t="shared" si="11"/>
        <v>0</v>
      </c>
    </row>
    <row r="74" spans="1:26" s="69" customFormat="1" ht="15" hidden="1" customHeight="1" outlineLevel="1" x14ac:dyDescent="0.3">
      <c r="A74" s="42"/>
      <c r="B74" s="12" t="str">
        <f>CONCATENATE("          ","5527"," - ","FREIGHT-IN-SCHOOL SUPPLIES")</f>
        <v xml:space="preserve">          5527 - FREIGHT-IN-SCHOOL SUPPLIES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>
        <v>0</v>
      </c>
      <c r="Q74" s="3"/>
      <c r="R74" s="20">
        <f t="shared" si="8"/>
        <v>0</v>
      </c>
      <c r="S74" s="3"/>
      <c r="T74" s="3">
        <v>177.5</v>
      </c>
      <c r="U74" s="3"/>
      <c r="V74" s="20">
        <f t="shared" si="9"/>
        <v>1.5751319481377467E-4</v>
      </c>
      <c r="W74" s="3"/>
      <c r="X74" s="3">
        <f t="shared" si="10"/>
        <v>-177.5</v>
      </c>
      <c r="Y74" s="3"/>
      <c r="Z74" s="20">
        <f t="shared" si="11"/>
        <v>-1</v>
      </c>
    </row>
    <row r="75" spans="1:26" s="69" customFormat="1" ht="15" hidden="1" customHeight="1" outlineLevel="1" x14ac:dyDescent="0.3">
      <c r="A75" s="42"/>
      <c r="B75" s="12" t="str">
        <f>CONCATENATE("          ","5528"," - ","FREIGHT-IN-ART/TECH")</f>
        <v xml:space="preserve">          5528 - FREIGHT-IN-ART/TECH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/>
      <c r="Q75" s="3"/>
      <c r="R75" s="20">
        <f t="shared" si="8"/>
        <v>0</v>
      </c>
      <c r="S75" s="3"/>
      <c r="T75" s="3">
        <v>33.950000000000003</v>
      </c>
      <c r="U75" s="3"/>
      <c r="V75" s="20">
        <f t="shared" si="9"/>
        <v>3.0127171627761412E-5</v>
      </c>
      <c r="W75" s="3"/>
      <c r="X75" s="3">
        <f t="shared" si="10"/>
        <v>-33.950000000000003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","5540"," - ","FREIGHT-IN-LOGO CLOTHING")</f>
        <v xml:space="preserve">          5540 - FREIGHT-IN-LOGO CLOTHING</v>
      </c>
      <c r="C76" s="12"/>
      <c r="D76" s="3"/>
      <c r="E76" s="3"/>
      <c r="F76" s="20">
        <f t="shared" si="4"/>
        <v>0</v>
      </c>
      <c r="G76" s="3"/>
      <c r="H76" s="3">
        <v>150.6</v>
      </c>
      <c r="I76" s="3"/>
      <c r="J76" s="20">
        <f t="shared" si="5"/>
        <v>1.5098199955707937E-3</v>
      </c>
      <c r="K76" s="3"/>
      <c r="L76" s="3">
        <f t="shared" si="6"/>
        <v>-150.6</v>
      </c>
      <c r="M76" s="3"/>
      <c r="N76" s="20">
        <f t="shared" si="7"/>
        <v>-1</v>
      </c>
      <c r="O76" s="12"/>
      <c r="P76" s="3">
        <v>0</v>
      </c>
      <c r="Q76" s="3"/>
      <c r="R76" s="20">
        <f t="shared" si="8"/>
        <v>0</v>
      </c>
      <c r="S76" s="3"/>
      <c r="T76" s="3">
        <v>5941.23</v>
      </c>
      <c r="U76" s="3"/>
      <c r="V76" s="20">
        <f t="shared" si="9"/>
        <v>5.2722372868926337E-3</v>
      </c>
      <c r="W76" s="3"/>
      <c r="X76" s="3">
        <f t="shared" si="10"/>
        <v>-5941.23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","5541"," - ","FREIGHT-IN-LOGO GIFTS")</f>
        <v xml:space="preserve">          5541 - FREIGHT-IN-LOGO GIFTS</v>
      </c>
      <c r="C77" s="12"/>
      <c r="D77" s="3"/>
      <c r="E77" s="3"/>
      <c r="F77" s="20">
        <f t="shared" si="4"/>
        <v>0</v>
      </c>
      <c r="G77" s="3"/>
      <c r="H77" s="3">
        <v>375.06</v>
      </c>
      <c r="I77" s="3"/>
      <c r="J77" s="20">
        <f t="shared" si="5"/>
        <v>3.760113463072921E-3</v>
      </c>
      <c r="K77" s="3"/>
      <c r="L77" s="3">
        <f t="shared" si="6"/>
        <v>-375.06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2077.9299999999998</v>
      </c>
      <c r="U77" s="3"/>
      <c r="V77" s="20">
        <f t="shared" si="9"/>
        <v>1.84395150929232E-3</v>
      </c>
      <c r="W77" s="3"/>
      <c r="X77" s="3">
        <f t="shared" si="10"/>
        <v>-2077.9299999999998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","5542"," - ","FREIGHT-IN-EVERYDAY GIFTS")</f>
        <v xml:space="preserve">          5542 - FREIGHT-IN-EVERYDAY GIFTS</v>
      </c>
      <c r="C78" s="12"/>
      <c r="D78" s="3"/>
      <c r="E78" s="3"/>
      <c r="F78" s="20">
        <f t="shared" si="4"/>
        <v>0</v>
      </c>
      <c r="G78" s="3"/>
      <c r="H78" s="3"/>
      <c r="I78" s="3"/>
      <c r="J78" s="20">
        <f t="shared" si="5"/>
        <v>0</v>
      </c>
      <c r="K78" s="3"/>
      <c r="L78" s="3">
        <f t="shared" si="6"/>
        <v>0</v>
      </c>
      <c r="M78" s="3"/>
      <c r="N78" s="20">
        <f t="shared" si="7"/>
        <v>0</v>
      </c>
      <c r="O78" s="12"/>
      <c r="P78" s="3">
        <v>0</v>
      </c>
      <c r="Q78" s="3"/>
      <c r="R78" s="20">
        <f t="shared" si="8"/>
        <v>0</v>
      </c>
      <c r="S78" s="3"/>
      <c r="T78" s="3">
        <v>383.93</v>
      </c>
      <c r="U78" s="3"/>
      <c r="V78" s="20">
        <f t="shared" si="9"/>
        <v>3.4069882188649306E-4</v>
      </c>
      <c r="W78" s="3"/>
      <c r="X78" s="3">
        <f t="shared" si="10"/>
        <v>-383.93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","5543"," - ","FREIGHT-IN-CARDS")</f>
        <v xml:space="preserve">          5543 - FREIGHT-IN-CARDS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/>
      <c r="Q79" s="3"/>
      <c r="R79" s="20">
        <f t="shared" si="8"/>
        <v>0</v>
      </c>
      <c r="S79" s="3"/>
      <c r="T79" s="3">
        <v>9110.5300000000007</v>
      </c>
      <c r="U79" s="3"/>
      <c r="V79" s="20">
        <f t="shared" si="9"/>
        <v>8.0846686577281061E-3</v>
      </c>
      <c r="W79" s="3"/>
      <c r="X79" s="3">
        <f t="shared" si="10"/>
        <v>-9110.5300000000007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","5544"," - ","FREIGHT-IN-ACCESSORIES")</f>
        <v xml:space="preserve">          5544 - FREIGHT-IN-ACCESSORIES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>
        <v>0</v>
      </c>
      <c r="Q80" s="3"/>
      <c r="R80" s="20">
        <f t="shared" si="8"/>
        <v>0</v>
      </c>
      <c r="S80" s="3"/>
      <c r="T80" s="3"/>
      <c r="U80" s="3"/>
      <c r="V80" s="20">
        <f t="shared" si="9"/>
        <v>0</v>
      </c>
      <c r="W80" s="3"/>
      <c r="X80" s="3">
        <f t="shared" si="10"/>
        <v>0</v>
      </c>
      <c r="Y80" s="3"/>
      <c r="Z80" s="20">
        <f t="shared" si="11"/>
        <v>0</v>
      </c>
    </row>
    <row r="81" spans="1:26" s="69" customFormat="1" ht="15" hidden="1" customHeight="1" outlineLevel="1" x14ac:dyDescent="0.3">
      <c r="A81" s="42"/>
      <c r="B81" s="12" t="str">
        <f>CONCATENATE("          ","5545"," - ","FREIGHT-IN-SPECIAL ORDERS")</f>
        <v xml:space="preserve">          5545 - FREIGHT-IN-SPECIAL ORDERS</v>
      </c>
      <c r="C81" s="12"/>
      <c r="D81" s="3"/>
      <c r="E81" s="3"/>
      <c r="F81" s="20">
        <f t="shared" si="4"/>
        <v>0</v>
      </c>
      <c r="G81" s="3"/>
      <c r="H81" s="3">
        <v>134.74</v>
      </c>
      <c r="I81" s="3"/>
      <c r="J81" s="20">
        <f t="shared" si="5"/>
        <v>1.3508177038725681E-3</v>
      </c>
      <c r="K81" s="3"/>
      <c r="L81" s="3">
        <f t="shared" si="6"/>
        <v>-134.74</v>
      </c>
      <c r="M81" s="3"/>
      <c r="N81" s="20">
        <f t="shared" si="7"/>
        <v>-1</v>
      </c>
      <c r="O81" s="12"/>
      <c r="P81" s="3">
        <v>0</v>
      </c>
      <c r="Q81" s="3"/>
      <c r="R81" s="20">
        <f t="shared" si="8"/>
        <v>0</v>
      </c>
      <c r="S81" s="3"/>
      <c r="T81" s="3">
        <v>1248.53</v>
      </c>
      <c r="U81" s="3"/>
      <c r="V81" s="20">
        <f t="shared" si="9"/>
        <v>1.107943375328688E-3</v>
      </c>
      <c r="W81" s="3"/>
      <c r="X81" s="3">
        <f t="shared" si="10"/>
        <v>-1248.53</v>
      </c>
      <c r="Y81" s="3"/>
      <c r="Z81" s="20">
        <f t="shared" si="11"/>
        <v>-1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288</v>
      </c>
      <c r="C83" s="28"/>
      <c r="D83" s="23">
        <f>D12-D56</f>
        <v>276951.71000000008</v>
      </c>
      <c r="E83" s="15"/>
      <c r="F83" s="22">
        <f>IF(D$12=0,0,D83/D$12)</f>
        <v>0.54803358571283389</v>
      </c>
      <c r="G83" s="15"/>
      <c r="H83" s="23">
        <f>H12-H56</f>
        <v>46775.99</v>
      </c>
      <c r="I83" s="15"/>
      <c r="J83" s="22">
        <f>IF(H$12=0,0,H83/H$12)</f>
        <v>0.46894638123917326</v>
      </c>
      <c r="K83" s="17"/>
      <c r="L83" s="23">
        <f>+D83-H83</f>
        <v>230175.72000000009</v>
      </c>
      <c r="M83" s="17"/>
      <c r="N83" s="22">
        <f>IF(H83=0,0,L83/H83)</f>
        <v>4.92080915871583</v>
      </c>
      <c r="O83" s="27"/>
      <c r="P83" s="23">
        <f>P12-P56</f>
        <v>1298087.4099999995</v>
      </c>
      <c r="Q83" s="15"/>
      <c r="R83" s="22">
        <f>IF(P$12=0,0,P83/P$12)</f>
        <v>0.51540063888540932</v>
      </c>
      <c r="S83" s="15"/>
      <c r="T83" s="23">
        <f>T12-T56</f>
        <v>463887.17999999982</v>
      </c>
      <c r="U83" s="15"/>
      <c r="V83" s="22">
        <f>IF(T$12=0,0,T83/T$12)</f>
        <v>0.41165268594339455</v>
      </c>
      <c r="W83" s="17"/>
      <c r="X83" s="23">
        <f>+P83-T83</f>
        <v>834200.22999999963</v>
      </c>
      <c r="Y83" s="17"/>
      <c r="Z83" s="22">
        <f>IF(T83=0,0,X83/T83)</f>
        <v>1.7982825694816571</v>
      </c>
    </row>
    <row r="84" spans="1:26" ht="15" customHeight="1" x14ac:dyDescent="0.3">
      <c r="A84" s="10"/>
      <c r="B84" s="11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3">
      <c r="A85" s="11"/>
      <c r="B85" s="27" t="s">
        <v>289</v>
      </c>
      <c r="C85" s="11"/>
      <c r="D85" s="21" cm="1">
        <f t="array" ref="D85">SUM(OSRRefD22x_0)</f>
        <v>93983.140000000014</v>
      </c>
      <c r="E85" s="21"/>
      <c r="F85" s="30">
        <f t="shared" ref="F85:F116" si="12">IF(D$12=0,0,D85/D$12)</f>
        <v>0.18597436069541246</v>
      </c>
      <c r="G85" s="21"/>
      <c r="H85" s="21" cm="1">
        <f t="array" ref="H85">SUM(OSRRefH22x_0)</f>
        <v>40152.100000000006</v>
      </c>
      <c r="I85" s="21"/>
      <c r="J85" s="30">
        <f t="shared" ref="J85:J116" si="13">IF(H$12=0,0,H85/H$12)</f>
        <v>0.40253946510065125</v>
      </c>
      <c r="K85" s="5"/>
      <c r="L85" s="21">
        <f t="shared" ref="L85:L116" si="14">+D85-H85</f>
        <v>53831.040000000008</v>
      </c>
      <c r="M85" s="5"/>
      <c r="N85" s="30">
        <f t="shared" ref="N85:N116" si="15">IF(H85=0,0,L85/H85)</f>
        <v>1.340678071632617</v>
      </c>
      <c r="O85" s="11"/>
      <c r="P85" s="21" cm="1">
        <f t="array" ref="P85">SUM(OSRRefP22x_0)</f>
        <v>655846.85</v>
      </c>
      <c r="Q85" s="21"/>
      <c r="R85" s="30">
        <f t="shared" ref="R85:R116" si="16">IF(P$12=0,0,P85/P$12)</f>
        <v>0.26040148213207254</v>
      </c>
      <c r="S85" s="21"/>
      <c r="T85" s="21" cm="1">
        <f t="array" ref="T85">SUM(OSRRefT22x_0)</f>
        <v>372069.68000000005</v>
      </c>
      <c r="U85" s="21"/>
      <c r="V85" s="30">
        <f t="shared" ref="V85:V116" si="17">IF(T$12=0,0,T85/T$12)</f>
        <v>0.33017399431064121</v>
      </c>
      <c r="W85" s="5"/>
      <c r="X85" s="21">
        <f t="shared" ref="X85:X116" si="18">+P85-T85</f>
        <v>283777.16999999993</v>
      </c>
      <c r="Y85" s="5"/>
      <c r="Z85" s="30">
        <f t="shared" ref="Z85:Z116" si="19">IF(T85=0,0,X85/T85)</f>
        <v>0.76269899229628135</v>
      </c>
    </row>
    <row r="86" spans="1:26" s="68" customFormat="1" ht="15" customHeight="1" outlineLevel="1" collapsed="1" x14ac:dyDescent="0.3">
      <c r="A86" s="25"/>
      <c r="B86" s="14" t="str">
        <f>CONCATENATE("     ","*Benefits                                         ")</f>
        <v xml:space="preserve">     *Benefits                                         </v>
      </c>
      <c r="C86" s="14"/>
      <c r="D86" s="2">
        <f>SUM(OSRRefD22_0x_0)</f>
        <v>13524.150000000001</v>
      </c>
      <c r="E86" s="2"/>
      <c r="F86" s="6">
        <f t="shared" si="12"/>
        <v>2.6761663317472283E-2</v>
      </c>
      <c r="G86" s="2"/>
      <c r="H86" s="2">
        <f>SUM(OSRRefH22_0x_0)</f>
        <v>9401.67</v>
      </c>
      <c r="I86" s="2"/>
      <c r="J86" s="6">
        <f t="shared" si="13"/>
        <v>9.4255175018313847E-2</v>
      </c>
      <c r="K86" s="2"/>
      <c r="L86" s="2">
        <f t="shared" si="14"/>
        <v>4122.4800000000014</v>
      </c>
      <c r="M86" s="2"/>
      <c r="N86" s="6">
        <f t="shared" si="15"/>
        <v>0.43848380128211278</v>
      </c>
      <c r="O86" s="14"/>
      <c r="P86" s="2">
        <f>SUM(OSRRefP22_0x_0)</f>
        <v>109600.13999999998</v>
      </c>
      <c r="Q86" s="2"/>
      <c r="R86" s="6">
        <f t="shared" si="16"/>
        <v>4.3516316191627123E-2</v>
      </c>
      <c r="S86" s="2"/>
      <c r="T86" s="2">
        <f>SUM(OSRRefT22_0x_0)</f>
        <v>80973.540000000008</v>
      </c>
      <c r="U86" s="2"/>
      <c r="V86" s="6">
        <f t="shared" si="17"/>
        <v>7.1855780173413958E-2</v>
      </c>
      <c r="W86" s="2"/>
      <c r="X86" s="2">
        <f t="shared" si="18"/>
        <v>28626.599999999977</v>
      </c>
      <c r="Y86" s="2"/>
      <c r="Z86" s="6">
        <f t="shared" si="19"/>
        <v>0.35353030137993191</v>
      </c>
    </row>
    <row r="87" spans="1:26" s="69" customFormat="1" ht="15" hidden="1" customHeight="1" outlineLevel="2" x14ac:dyDescent="0.3">
      <c r="A87" s="26"/>
      <c r="B87" s="12" t="str">
        <f>CONCATENATE("          ","6111"," - ","F.I.C.A.")</f>
        <v xml:space="preserve">          6111 - F.I.C.A.</v>
      </c>
      <c r="C87" s="12"/>
      <c r="D87" s="8">
        <v>2080.38</v>
      </c>
      <c r="E87" s="3"/>
      <c r="F87" s="7">
        <f t="shared" si="12"/>
        <v>4.116667526787487E-3</v>
      </c>
      <c r="G87" s="3"/>
      <c r="H87" s="8">
        <v>1897.68</v>
      </c>
      <c r="I87" s="3"/>
      <c r="J87" s="7">
        <f t="shared" si="13"/>
        <v>1.9024934988013175E-2</v>
      </c>
      <c r="K87" s="3"/>
      <c r="L87" s="8">
        <f t="shared" si="14"/>
        <v>182.70000000000005</v>
      </c>
      <c r="M87" s="3"/>
      <c r="N87" s="7">
        <f t="shared" si="15"/>
        <v>9.6275452131023162E-2</v>
      </c>
      <c r="O87" s="12"/>
      <c r="P87" s="8">
        <v>19797.12</v>
      </c>
      <c r="Q87" s="3"/>
      <c r="R87" s="7">
        <f t="shared" si="16"/>
        <v>7.8603707404350503E-3</v>
      </c>
      <c r="S87" s="3"/>
      <c r="T87" s="8">
        <v>18172.740000000002</v>
      </c>
      <c r="U87" s="3"/>
      <c r="V87" s="7">
        <f t="shared" si="17"/>
        <v>1.6126458230535639E-2</v>
      </c>
      <c r="W87" s="3"/>
      <c r="X87" s="8">
        <f t="shared" si="18"/>
        <v>1624.3799999999974</v>
      </c>
      <c r="Y87" s="3"/>
      <c r="Z87" s="7">
        <f t="shared" si="19"/>
        <v>8.9385530195226326E-2</v>
      </c>
    </row>
    <row r="88" spans="1:26" s="69" customFormat="1" ht="15" hidden="1" customHeight="1" outlineLevel="2" x14ac:dyDescent="0.3">
      <c r="A88" s="26"/>
      <c r="B88" s="12" t="str">
        <f>CONCATENATE("          ","6112"," - ","COMPENSATION INSURANCE")</f>
        <v xml:space="preserve">          6112 - COMPENSATION INSURANCE</v>
      </c>
      <c r="C88" s="12"/>
      <c r="D88" s="8">
        <v>1079.67</v>
      </c>
      <c r="E88" s="3"/>
      <c r="F88" s="7">
        <f t="shared" si="12"/>
        <v>2.1364570072038023E-3</v>
      </c>
      <c r="G88" s="3"/>
      <c r="H88" s="8">
        <v>593.09</v>
      </c>
      <c r="I88" s="3"/>
      <c r="J88" s="7">
        <f t="shared" si="13"/>
        <v>5.9459438324905856E-3</v>
      </c>
      <c r="K88" s="3"/>
      <c r="L88" s="8">
        <f t="shared" si="14"/>
        <v>486.58000000000004</v>
      </c>
      <c r="M88" s="3"/>
      <c r="N88" s="7">
        <f t="shared" si="15"/>
        <v>0.82041511406363288</v>
      </c>
      <c r="O88" s="12"/>
      <c r="P88" s="8">
        <v>7048.41</v>
      </c>
      <c r="Q88" s="3"/>
      <c r="R88" s="7">
        <f t="shared" si="16"/>
        <v>2.7985442190879188E-3</v>
      </c>
      <c r="S88" s="3"/>
      <c r="T88" s="8">
        <v>6570.09</v>
      </c>
      <c r="U88" s="3"/>
      <c r="V88" s="7">
        <f t="shared" si="17"/>
        <v>5.8302865696565238E-3</v>
      </c>
      <c r="W88" s="3"/>
      <c r="X88" s="8">
        <f t="shared" si="18"/>
        <v>478.31999999999971</v>
      </c>
      <c r="Y88" s="3"/>
      <c r="Z88" s="7">
        <f t="shared" si="19"/>
        <v>7.2802655671383457E-2</v>
      </c>
    </row>
    <row r="89" spans="1:26" s="69" customFormat="1" ht="15" hidden="1" customHeight="1" outlineLevel="2" x14ac:dyDescent="0.3">
      <c r="A89" s="26"/>
      <c r="B89" s="12" t="str">
        <f>CONCATENATE("          ","6113"," - ","GROUP INSURANCE")</f>
        <v xml:space="preserve">          6113 - GROUP INSURANCE</v>
      </c>
      <c r="C89" s="12"/>
      <c r="D89" s="8">
        <v>4501.42</v>
      </c>
      <c r="E89" s="3"/>
      <c r="F89" s="7">
        <f t="shared" si="12"/>
        <v>8.907434958244035E-3</v>
      </c>
      <c r="G89" s="3"/>
      <c r="H89" s="8">
        <v>2823.95</v>
      </c>
      <c r="I89" s="3"/>
      <c r="J89" s="7">
        <f t="shared" si="13"/>
        <v>2.8311129989987669E-2</v>
      </c>
      <c r="K89" s="3"/>
      <c r="L89" s="8">
        <f t="shared" si="14"/>
        <v>1677.4700000000003</v>
      </c>
      <c r="M89" s="3"/>
      <c r="N89" s="7">
        <f t="shared" si="15"/>
        <v>0.59401547477823624</v>
      </c>
      <c r="O89" s="12"/>
      <c r="P89" s="8">
        <v>34175.919999999998</v>
      </c>
      <c r="Q89" s="3"/>
      <c r="R89" s="7">
        <f t="shared" si="16"/>
        <v>1.3569418258587566E-2</v>
      </c>
      <c r="S89" s="3"/>
      <c r="T89" s="8">
        <v>23476.95</v>
      </c>
      <c r="U89" s="3"/>
      <c r="V89" s="7">
        <f t="shared" si="17"/>
        <v>2.0833405064694353E-2</v>
      </c>
      <c r="W89" s="3"/>
      <c r="X89" s="8">
        <f t="shared" si="18"/>
        <v>10698.969999999998</v>
      </c>
      <c r="Y89" s="3"/>
      <c r="Z89" s="7">
        <f t="shared" si="19"/>
        <v>0.45572231486628362</v>
      </c>
    </row>
    <row r="90" spans="1:26" s="69" customFormat="1" ht="15" hidden="1" customHeight="1" outlineLevel="2" x14ac:dyDescent="0.3">
      <c r="A90" s="26"/>
      <c r="B90" s="12" t="str">
        <f>CONCATENATE("          ","6114"," - ","STATE UNEMPLOYMENT INSURANCE")</f>
        <v xml:space="preserve">          6114 - STATE UNEMPLOYMENT INSURANCE</v>
      </c>
      <c r="C90" s="12"/>
      <c r="D90" s="8">
        <v>190.52</v>
      </c>
      <c r="E90" s="3"/>
      <c r="F90" s="7">
        <f t="shared" si="12"/>
        <v>3.7700203674499461E-4</v>
      </c>
      <c r="G90" s="3"/>
      <c r="H90" s="8">
        <v>83.35</v>
      </c>
      <c r="I90" s="3"/>
      <c r="J90" s="7">
        <f t="shared" si="13"/>
        <v>8.3561418745568166E-4</v>
      </c>
      <c r="K90" s="3"/>
      <c r="L90" s="8">
        <f t="shared" si="14"/>
        <v>107.17000000000002</v>
      </c>
      <c r="M90" s="3"/>
      <c r="N90" s="7">
        <f t="shared" si="15"/>
        <v>1.2857828434313141</v>
      </c>
      <c r="O90" s="12"/>
      <c r="P90" s="8">
        <v>1239.18</v>
      </c>
      <c r="Q90" s="3"/>
      <c r="R90" s="7">
        <f t="shared" si="16"/>
        <v>4.9201167715972357E-4</v>
      </c>
      <c r="S90" s="3"/>
      <c r="T90" s="8">
        <v>749.59</v>
      </c>
      <c r="U90" s="3"/>
      <c r="V90" s="7">
        <f t="shared" si="17"/>
        <v>6.6518487718567531E-4</v>
      </c>
      <c r="W90" s="3"/>
      <c r="X90" s="8">
        <f t="shared" si="18"/>
        <v>489.59000000000003</v>
      </c>
      <c r="Y90" s="3"/>
      <c r="Z90" s="7">
        <f t="shared" si="19"/>
        <v>0.6531437185661495</v>
      </c>
    </row>
    <row r="91" spans="1:26" s="69" customFormat="1" ht="15" hidden="1" customHeight="1" outlineLevel="2" x14ac:dyDescent="0.3">
      <c r="A91" s="26"/>
      <c r="B91" s="12" t="str">
        <f>CONCATENATE("          ","6115"," - ","P.E.R.S.")</f>
        <v xml:space="preserve">          6115 - P.E.R.S.</v>
      </c>
      <c r="C91" s="12"/>
      <c r="D91" s="8">
        <v>1307.8399999999999</v>
      </c>
      <c r="E91" s="3"/>
      <c r="F91" s="7">
        <f t="shared" si="12"/>
        <v>2.5879610735700912E-3</v>
      </c>
      <c r="G91" s="3"/>
      <c r="H91" s="8">
        <v>1508.82</v>
      </c>
      <c r="I91" s="3"/>
      <c r="J91" s="7">
        <f t="shared" si="13"/>
        <v>1.5126471485505479E-2</v>
      </c>
      <c r="K91" s="3"/>
      <c r="L91" s="8">
        <f t="shared" si="14"/>
        <v>-200.98000000000002</v>
      </c>
      <c r="M91" s="3"/>
      <c r="N91" s="7">
        <f t="shared" si="15"/>
        <v>-0.13320343049535399</v>
      </c>
      <c r="O91" s="12"/>
      <c r="P91" s="8">
        <v>12666.13</v>
      </c>
      <c r="Q91" s="3"/>
      <c r="R91" s="7">
        <f t="shared" si="16"/>
        <v>5.0290384483473657E-3</v>
      </c>
      <c r="S91" s="3"/>
      <c r="T91" s="8">
        <v>13115.7</v>
      </c>
      <c r="U91" s="3"/>
      <c r="V91" s="7">
        <f t="shared" si="17"/>
        <v>1.1638849629402957E-2</v>
      </c>
      <c r="W91" s="3"/>
      <c r="X91" s="8">
        <f t="shared" si="18"/>
        <v>-449.57000000000153</v>
      </c>
      <c r="Y91" s="3"/>
      <c r="Z91" s="7">
        <f t="shared" si="19"/>
        <v>-3.4277240254046791E-2</v>
      </c>
    </row>
    <row r="92" spans="1:26" s="69" customFormat="1" ht="15" hidden="1" customHeight="1" outlineLevel="2" x14ac:dyDescent="0.3">
      <c r="A92" s="26"/>
      <c r="B92" s="12" t="str">
        <f>CONCATENATE("          ","6118"," - ","VACATION")</f>
        <v xml:space="preserve">          6118 - VACATION</v>
      </c>
      <c r="C92" s="12"/>
      <c r="D92" s="8">
        <v>1833.1</v>
      </c>
      <c r="E92" s="3"/>
      <c r="F92" s="7">
        <f t="shared" si="12"/>
        <v>3.6273484860237749E-3</v>
      </c>
      <c r="G92" s="3"/>
      <c r="H92" s="8">
        <v>1290.6199999999999</v>
      </c>
      <c r="I92" s="3"/>
      <c r="J92" s="7">
        <f t="shared" si="13"/>
        <v>1.293893680400782E-2</v>
      </c>
      <c r="K92" s="3"/>
      <c r="L92" s="8">
        <f t="shared" si="14"/>
        <v>542.48</v>
      </c>
      <c r="M92" s="3"/>
      <c r="N92" s="7">
        <f t="shared" si="15"/>
        <v>0.42032511506097847</v>
      </c>
      <c r="O92" s="12"/>
      <c r="P92" s="8">
        <v>15619.11</v>
      </c>
      <c r="Q92" s="3"/>
      <c r="R92" s="7">
        <f t="shared" si="16"/>
        <v>6.2015078574881857E-3</v>
      </c>
      <c r="S92" s="3"/>
      <c r="T92" s="8">
        <v>9702.35</v>
      </c>
      <c r="U92" s="3"/>
      <c r="V92" s="7">
        <f t="shared" si="17"/>
        <v>8.6098487081770533E-3</v>
      </c>
      <c r="W92" s="3"/>
      <c r="X92" s="8">
        <f t="shared" si="18"/>
        <v>5916.76</v>
      </c>
      <c r="Y92" s="3"/>
      <c r="Z92" s="7">
        <f t="shared" si="19"/>
        <v>0.60982751601416152</v>
      </c>
    </row>
    <row r="93" spans="1:26" s="69" customFormat="1" ht="15" hidden="1" customHeight="1" outlineLevel="2" x14ac:dyDescent="0.3">
      <c r="A93" s="26"/>
      <c r="B93" s="12" t="str">
        <f>CONCATENATE("          ","6119"," - ","SICK LEAVE")</f>
        <v xml:space="preserve">          6119 - SICK LEAVE</v>
      </c>
      <c r="C93" s="12"/>
      <c r="D93" s="8">
        <v>1721.44</v>
      </c>
      <c r="E93" s="3"/>
      <c r="F93" s="7">
        <f t="shared" si="12"/>
        <v>3.4063950563421349E-3</v>
      </c>
      <c r="G93" s="3"/>
      <c r="H93" s="8">
        <v>889.54</v>
      </c>
      <c r="I93" s="3"/>
      <c r="J93" s="7">
        <f t="shared" si="13"/>
        <v>8.9179633390441167E-3</v>
      </c>
      <c r="K93" s="3"/>
      <c r="L93" s="8">
        <f t="shared" si="14"/>
        <v>831.90000000000009</v>
      </c>
      <c r="M93" s="3"/>
      <c r="N93" s="7">
        <f t="shared" si="15"/>
        <v>0.93520246419497732</v>
      </c>
      <c r="O93" s="12"/>
      <c r="P93" s="8">
        <v>13907.51</v>
      </c>
      <c r="Q93" s="3"/>
      <c r="R93" s="7">
        <f t="shared" si="16"/>
        <v>5.5219236270885805E-3</v>
      </c>
      <c r="S93" s="3"/>
      <c r="T93" s="8">
        <v>6903.35</v>
      </c>
      <c r="U93" s="3"/>
      <c r="V93" s="7">
        <f t="shared" si="17"/>
        <v>6.1260209206629385E-3</v>
      </c>
      <c r="W93" s="3"/>
      <c r="X93" s="8">
        <f t="shared" si="18"/>
        <v>7004.16</v>
      </c>
      <c r="Y93" s="3"/>
      <c r="Z93" s="7">
        <f t="shared" si="19"/>
        <v>1.0146030550384957</v>
      </c>
    </row>
    <row r="94" spans="1:26" s="69" customFormat="1" ht="15" hidden="1" customHeight="1" outlineLevel="2" x14ac:dyDescent="0.3">
      <c r="A94" s="26"/>
      <c r="B94" s="12" t="str">
        <f>CONCATENATE("          ","6156"," - ","EMPLOYEE MEALS")</f>
        <v xml:space="preserve">          6156 - EMPLOYEE MEALS</v>
      </c>
      <c r="C94" s="12"/>
      <c r="D94" s="8">
        <v>809.78</v>
      </c>
      <c r="E94" s="3"/>
      <c r="F94" s="7">
        <f t="shared" si="12"/>
        <v>1.6023971725559613E-3</v>
      </c>
      <c r="G94" s="3"/>
      <c r="H94" s="8">
        <v>314.62</v>
      </c>
      <c r="I94" s="3"/>
      <c r="J94" s="7">
        <f t="shared" si="13"/>
        <v>3.1541803918093171E-3</v>
      </c>
      <c r="K94" s="3"/>
      <c r="L94" s="8">
        <f t="shared" si="14"/>
        <v>495.15999999999997</v>
      </c>
      <c r="M94" s="3"/>
      <c r="N94" s="7">
        <f t="shared" si="15"/>
        <v>1.5738351026635304</v>
      </c>
      <c r="O94" s="12"/>
      <c r="P94" s="8">
        <v>5146.76</v>
      </c>
      <c r="Q94" s="3"/>
      <c r="R94" s="7">
        <f t="shared" si="16"/>
        <v>2.0435013634327371E-3</v>
      </c>
      <c r="S94" s="3"/>
      <c r="T94" s="8">
        <v>2282.77</v>
      </c>
      <c r="U94" s="3"/>
      <c r="V94" s="7">
        <f t="shared" si="17"/>
        <v>2.0257261730988194E-3</v>
      </c>
      <c r="W94" s="3"/>
      <c r="X94" s="8">
        <f t="shared" si="18"/>
        <v>2863.9900000000002</v>
      </c>
      <c r="Y94" s="3"/>
      <c r="Z94" s="7">
        <f t="shared" si="19"/>
        <v>1.254611721724046</v>
      </c>
    </row>
    <row r="95" spans="1:26" s="68" customFormat="1" ht="15" customHeight="1" outlineLevel="1" collapsed="1" x14ac:dyDescent="0.3">
      <c r="A95" s="25"/>
      <c r="B95" s="14" t="str">
        <f>CONCATENATE("     ","*Payroll                                          ")</f>
        <v xml:space="preserve">     *Payroll                                          </v>
      </c>
      <c r="C95" s="14"/>
      <c r="D95" s="2">
        <f>SUM(OSRRefD22_1x_0)</f>
        <v>71068.83</v>
      </c>
      <c r="E95" s="2"/>
      <c r="F95" s="6">
        <f t="shared" si="12"/>
        <v>0.14063139648899736</v>
      </c>
      <c r="G95" s="2"/>
      <c r="H95" s="2">
        <f>SUM(OSRRefH22_1x_0)</f>
        <v>29414.399999999998</v>
      </c>
      <c r="I95" s="2"/>
      <c r="J95" s="6">
        <f t="shared" si="13"/>
        <v>0.29489010144566769</v>
      </c>
      <c r="K95" s="2"/>
      <c r="L95" s="2">
        <f t="shared" si="14"/>
        <v>41654.430000000008</v>
      </c>
      <c r="M95" s="2"/>
      <c r="N95" s="6">
        <f t="shared" si="15"/>
        <v>1.4161237353133163</v>
      </c>
      <c r="O95" s="14"/>
      <c r="P95" s="2">
        <f>SUM(OSRRefP22_1x_0)</f>
        <v>458607.9</v>
      </c>
      <c r="Q95" s="2"/>
      <c r="R95" s="6">
        <f t="shared" si="16"/>
        <v>0.18208851178819768</v>
      </c>
      <c r="S95" s="2"/>
      <c r="T95" s="2">
        <f>SUM(OSRRefT22_1x_0)</f>
        <v>237860.55999999997</v>
      </c>
      <c r="U95" s="2"/>
      <c r="V95" s="6">
        <f t="shared" si="17"/>
        <v>0.21107705197630161</v>
      </c>
      <c r="W95" s="2"/>
      <c r="X95" s="2">
        <f t="shared" si="18"/>
        <v>220747.34000000005</v>
      </c>
      <c r="Y95" s="2"/>
      <c r="Z95" s="6">
        <f t="shared" si="19"/>
        <v>0.92805356213741397</v>
      </c>
    </row>
    <row r="96" spans="1:26" s="69" customFormat="1" ht="15" hidden="1" customHeight="1" outlineLevel="2" x14ac:dyDescent="0.3">
      <c r="A96" s="26"/>
      <c r="B96" s="12" t="str">
        <f>CONCATENATE("          ","6002"," - ","STAFF SALARIES")</f>
        <v xml:space="preserve">          6002 - STAFF SALARIES</v>
      </c>
      <c r="C96" s="12"/>
      <c r="D96" s="8">
        <v>12404.36</v>
      </c>
      <c r="E96" s="3"/>
      <c r="F96" s="7">
        <f t="shared" si="12"/>
        <v>2.4545816630895136E-2</v>
      </c>
      <c r="G96" s="3"/>
      <c r="H96" s="8">
        <v>14381.13</v>
      </c>
      <c r="I96" s="3"/>
      <c r="J96" s="7">
        <f t="shared" si="13"/>
        <v>0.14417607989975437</v>
      </c>
      <c r="K96" s="3"/>
      <c r="L96" s="8">
        <f t="shared" si="14"/>
        <v>-1976.7699999999986</v>
      </c>
      <c r="M96" s="3"/>
      <c r="N96" s="7">
        <f t="shared" si="15"/>
        <v>-0.1374558188403831</v>
      </c>
      <c r="O96" s="12"/>
      <c r="P96" s="8">
        <v>122454.38</v>
      </c>
      <c r="Q96" s="3"/>
      <c r="R96" s="7">
        <f t="shared" si="16"/>
        <v>4.8620042995653666E-2</v>
      </c>
      <c r="S96" s="3"/>
      <c r="T96" s="8">
        <v>107714.8</v>
      </c>
      <c r="U96" s="3"/>
      <c r="V96" s="7">
        <f t="shared" si="17"/>
        <v>9.5585928319587482E-2</v>
      </c>
      <c r="W96" s="3"/>
      <c r="X96" s="8">
        <f t="shared" si="18"/>
        <v>14739.580000000002</v>
      </c>
      <c r="Y96" s="3"/>
      <c r="Z96" s="7">
        <f t="shared" si="19"/>
        <v>0.13683894877955491</v>
      </c>
    </row>
    <row r="97" spans="1:26" s="69" customFormat="1" ht="15" hidden="1" customHeight="1" outlineLevel="2" x14ac:dyDescent="0.3">
      <c r="A97" s="26"/>
      <c r="B97" s="12" t="str">
        <f>CONCATENATE("          ","6004"," - ","STAFF HOURLY")</f>
        <v xml:space="preserve">          6004 - STAFF HOURLY</v>
      </c>
      <c r="C97" s="12"/>
      <c r="D97" s="8">
        <v>13957.01</v>
      </c>
      <c r="E97" s="3"/>
      <c r="F97" s="7">
        <f t="shared" si="12"/>
        <v>2.7618209095476891E-2</v>
      </c>
      <c r="G97" s="3"/>
      <c r="H97" s="8">
        <v>3620.72</v>
      </c>
      <c r="I97" s="3"/>
      <c r="J97" s="7">
        <f t="shared" si="13"/>
        <v>3.6299040201614105E-2</v>
      </c>
      <c r="K97" s="3"/>
      <c r="L97" s="8">
        <f t="shared" si="14"/>
        <v>10336.290000000001</v>
      </c>
      <c r="M97" s="3"/>
      <c r="N97" s="7">
        <f t="shared" si="15"/>
        <v>2.8547609315274314</v>
      </c>
      <c r="O97" s="12"/>
      <c r="P97" s="8">
        <v>69496.149999999994</v>
      </c>
      <c r="Q97" s="3"/>
      <c r="R97" s="7">
        <f t="shared" si="16"/>
        <v>2.7593180423863942E-2</v>
      </c>
      <c r="S97" s="3"/>
      <c r="T97" s="8">
        <v>45827.18</v>
      </c>
      <c r="U97" s="3"/>
      <c r="V97" s="7">
        <f t="shared" si="17"/>
        <v>4.0666960738624892E-2</v>
      </c>
      <c r="W97" s="3"/>
      <c r="X97" s="8">
        <f t="shared" si="18"/>
        <v>23668.969999999994</v>
      </c>
      <c r="Y97" s="3"/>
      <c r="Z97" s="7">
        <f t="shared" si="19"/>
        <v>0.51648323113052108</v>
      </c>
    </row>
    <row r="98" spans="1:26" s="69" customFormat="1" ht="15" hidden="1" customHeight="1" outlineLevel="2" x14ac:dyDescent="0.3">
      <c r="A98" s="26"/>
      <c r="B98" s="12" t="str">
        <f>CONCATENATE("          ","6005"," - ","TEMPORARY WAGES-HOURLY")</f>
        <v xml:space="preserve">          6005 - TEMPORARY WAGES-HOURLY</v>
      </c>
      <c r="C98" s="12"/>
      <c r="D98" s="8">
        <v>2315.6</v>
      </c>
      <c r="E98" s="3"/>
      <c r="F98" s="7">
        <f t="shared" si="12"/>
        <v>4.5821221724055717E-3</v>
      </c>
      <c r="G98" s="3"/>
      <c r="H98" s="8">
        <v>4486.3500000000004</v>
      </c>
      <c r="I98" s="3"/>
      <c r="J98" s="7">
        <f t="shared" si="13"/>
        <v>4.4977297059289718E-2</v>
      </c>
      <c r="K98" s="3"/>
      <c r="L98" s="8">
        <f t="shared" si="14"/>
        <v>-2170.7500000000005</v>
      </c>
      <c r="M98" s="3"/>
      <c r="N98" s="7">
        <f t="shared" si="15"/>
        <v>-0.48385658720340596</v>
      </c>
      <c r="O98" s="12"/>
      <c r="P98" s="8">
        <v>21863.85</v>
      </c>
      <c r="Q98" s="3"/>
      <c r="R98" s="7">
        <f t="shared" si="16"/>
        <v>8.6809579783958916E-3</v>
      </c>
      <c r="S98" s="3"/>
      <c r="T98" s="8">
        <v>31871.64</v>
      </c>
      <c r="U98" s="3"/>
      <c r="V98" s="7">
        <f t="shared" si="17"/>
        <v>2.8282838537208414E-2</v>
      </c>
      <c r="W98" s="3"/>
      <c r="X98" s="8">
        <f t="shared" si="18"/>
        <v>-10007.790000000001</v>
      </c>
      <c r="Y98" s="3"/>
      <c r="Z98" s="7">
        <f t="shared" si="19"/>
        <v>-0.31400298196139265</v>
      </c>
    </row>
    <row r="99" spans="1:26" s="69" customFormat="1" ht="15" hidden="1" customHeight="1" outlineLevel="2" x14ac:dyDescent="0.3">
      <c r="A99" s="26"/>
      <c r="B99" s="12" t="str">
        <f>CONCATENATE("          ","6006"," - ","TEMPORARY PART TIME")</f>
        <v xml:space="preserve">          6006 - TEMPORARY PART TIME</v>
      </c>
      <c r="C99" s="12"/>
      <c r="D99" s="8"/>
      <c r="E99" s="3"/>
      <c r="F99" s="7">
        <f t="shared" si="12"/>
        <v>0</v>
      </c>
      <c r="G99" s="3"/>
      <c r="H99" s="8">
        <v>990.78</v>
      </c>
      <c r="I99" s="3"/>
      <c r="J99" s="7">
        <f t="shared" si="13"/>
        <v>9.9329313095061818E-3</v>
      </c>
      <c r="K99" s="3"/>
      <c r="L99" s="8">
        <f t="shared" si="14"/>
        <v>-990.78</v>
      </c>
      <c r="M99" s="3"/>
      <c r="N99" s="7">
        <f t="shared" si="15"/>
        <v>-1</v>
      </c>
      <c r="O99" s="12"/>
      <c r="P99" s="8"/>
      <c r="Q99" s="3"/>
      <c r="R99" s="7">
        <f t="shared" si="16"/>
        <v>0</v>
      </c>
      <c r="S99" s="3"/>
      <c r="T99" s="8">
        <v>990.78</v>
      </c>
      <c r="U99" s="3"/>
      <c r="V99" s="7">
        <f t="shared" si="17"/>
        <v>8.7921646849347421E-4</v>
      </c>
      <c r="W99" s="3"/>
      <c r="X99" s="8">
        <f t="shared" si="18"/>
        <v>-990.78</v>
      </c>
      <c r="Y99" s="3"/>
      <c r="Z99" s="7">
        <f t="shared" si="19"/>
        <v>-1</v>
      </c>
    </row>
    <row r="100" spans="1:26" s="69" customFormat="1" ht="15" hidden="1" customHeight="1" outlineLevel="2" x14ac:dyDescent="0.3">
      <c r="A100" s="26"/>
      <c r="B100" s="12" t="str">
        <f>CONCATENATE("          ","6007"," - ","STUDENT HOURLY")</f>
        <v xml:space="preserve">          6007 - STUDENT HOURLY</v>
      </c>
      <c r="C100" s="12"/>
      <c r="D100" s="8">
        <v>30487.86</v>
      </c>
      <c r="E100" s="3"/>
      <c r="F100" s="7">
        <f t="shared" si="12"/>
        <v>6.0329547113144297E-2</v>
      </c>
      <c r="G100" s="3"/>
      <c r="H100" s="8">
        <v>5096.3999999999996</v>
      </c>
      <c r="I100" s="3"/>
      <c r="J100" s="7">
        <f t="shared" si="13"/>
        <v>5.1093271085172594E-2</v>
      </c>
      <c r="K100" s="3"/>
      <c r="L100" s="8">
        <f t="shared" si="14"/>
        <v>25391.46</v>
      </c>
      <c r="M100" s="3"/>
      <c r="N100" s="7">
        <f t="shared" si="15"/>
        <v>4.9822345184836356</v>
      </c>
      <c r="O100" s="12"/>
      <c r="P100" s="8">
        <v>190000.5</v>
      </c>
      <c r="Q100" s="3"/>
      <c r="R100" s="7">
        <f t="shared" si="16"/>
        <v>7.5438971469993107E-2</v>
      </c>
      <c r="S100" s="3"/>
      <c r="T100" s="8">
        <v>47043.199999999997</v>
      </c>
      <c r="U100" s="3"/>
      <c r="V100" s="7">
        <f t="shared" si="17"/>
        <v>4.1746054795849939E-2</v>
      </c>
      <c r="W100" s="3"/>
      <c r="X100" s="8">
        <f t="shared" si="18"/>
        <v>142957.29999999999</v>
      </c>
      <c r="Y100" s="3"/>
      <c r="Z100" s="7">
        <f t="shared" si="19"/>
        <v>3.0388515237058704</v>
      </c>
    </row>
    <row r="101" spans="1:26" s="69" customFormat="1" ht="15" hidden="1" customHeight="1" outlineLevel="2" x14ac:dyDescent="0.3">
      <c r="A101" s="26"/>
      <c r="B101" s="12" t="str">
        <f>CONCATENATE("          ","6008"," - ","STUDENT HOURLY-FICA EXEMPT")</f>
        <v xml:space="preserve">          6008 - STUDENT HOURLY-FICA EXEMPT</v>
      </c>
      <c r="C101" s="12"/>
      <c r="D101" s="8">
        <v>11904</v>
      </c>
      <c r="E101" s="3"/>
      <c r="F101" s="7">
        <f t="shared" si="12"/>
        <v>2.3555701477075457E-2</v>
      </c>
      <c r="G101" s="3"/>
      <c r="H101" s="8">
        <v>839.02</v>
      </c>
      <c r="I101" s="3"/>
      <c r="J101" s="7">
        <f t="shared" si="13"/>
        <v>8.411481890330726E-3</v>
      </c>
      <c r="K101" s="3"/>
      <c r="L101" s="8">
        <f t="shared" si="14"/>
        <v>11064.98</v>
      </c>
      <c r="M101" s="3"/>
      <c r="N101" s="7">
        <f t="shared" si="15"/>
        <v>13.187981216180782</v>
      </c>
      <c r="O101" s="12"/>
      <c r="P101" s="8">
        <v>54793.02</v>
      </c>
      <c r="Q101" s="3"/>
      <c r="R101" s="7">
        <f t="shared" si="16"/>
        <v>2.1755358920291061E-2</v>
      </c>
      <c r="S101" s="3"/>
      <c r="T101" s="8">
        <v>4412.96</v>
      </c>
      <c r="U101" s="3"/>
      <c r="V101" s="7">
        <f t="shared" si="17"/>
        <v>3.9160531165374378E-3</v>
      </c>
      <c r="W101" s="3"/>
      <c r="X101" s="8">
        <f t="shared" si="18"/>
        <v>50380.06</v>
      </c>
      <c r="Y101" s="3"/>
      <c r="Z101" s="7">
        <f t="shared" si="19"/>
        <v>11.416387186831514</v>
      </c>
    </row>
    <row r="102" spans="1:26" s="68" customFormat="1" ht="15" customHeight="1" outlineLevel="1" collapsed="1" x14ac:dyDescent="0.3">
      <c r="A102" s="25"/>
      <c r="B102" s="14" t="str">
        <f>CONCATENATE("     ","Advertising/Promo                                 ")</f>
        <v xml:space="preserve">     Advertising/Promo                                 </v>
      </c>
      <c r="C102" s="14"/>
      <c r="D102" s="2">
        <f>SUM(OSRRefD22_2x_0)</f>
        <v>316.10000000000002</v>
      </c>
      <c r="E102" s="2"/>
      <c r="F102" s="6">
        <f t="shared" si="12"/>
        <v>6.2550043992805381E-4</v>
      </c>
      <c r="G102" s="2"/>
      <c r="H102" s="2">
        <f>SUM(OSRRefH22_2x_0)</f>
        <v>114.65</v>
      </c>
      <c r="I102" s="2"/>
      <c r="J102" s="6">
        <f t="shared" si="13"/>
        <v>1.1494081174780314E-3</v>
      </c>
      <c r="K102" s="2"/>
      <c r="L102" s="2">
        <f t="shared" si="14"/>
        <v>201.45000000000002</v>
      </c>
      <c r="M102" s="2"/>
      <c r="N102" s="6">
        <f t="shared" si="15"/>
        <v>1.7570867858700394</v>
      </c>
      <c r="O102" s="14"/>
      <c r="P102" s="2">
        <f>SUM(OSRRefP22_2x_0)</f>
        <v>2932.14</v>
      </c>
      <c r="Q102" s="2"/>
      <c r="R102" s="6">
        <f t="shared" si="16"/>
        <v>1.1641949668870638E-3</v>
      </c>
      <c r="S102" s="2"/>
      <c r="T102" s="2">
        <f>SUM(OSRRefT22_2x_0)</f>
        <v>12775.32</v>
      </c>
      <c r="U102" s="2"/>
      <c r="V102" s="6">
        <f t="shared" si="17"/>
        <v>1.1336797002638377E-2</v>
      </c>
      <c r="W102" s="2"/>
      <c r="X102" s="2">
        <f t="shared" si="18"/>
        <v>-9843.18</v>
      </c>
      <c r="Y102" s="2"/>
      <c r="Z102" s="6">
        <f t="shared" si="19"/>
        <v>-0.77048402701458751</v>
      </c>
    </row>
    <row r="103" spans="1:26" s="69" customFormat="1" ht="15" hidden="1" customHeight="1" outlineLevel="2" x14ac:dyDescent="0.3">
      <c r="A103" s="26"/>
      <c r="B103" s="12" t="str">
        <f>CONCATENATE("          ","6362"," - ","ADVERTISING EXPENSE")</f>
        <v xml:space="preserve">          6362 - ADVERTISING EXPENSE</v>
      </c>
      <c r="C103" s="12"/>
      <c r="D103" s="8">
        <v>316.10000000000002</v>
      </c>
      <c r="E103" s="3"/>
      <c r="F103" s="7">
        <f t="shared" si="12"/>
        <v>6.2550043992805381E-4</v>
      </c>
      <c r="G103" s="3"/>
      <c r="H103" s="8">
        <v>114.65</v>
      </c>
      <c r="I103" s="3"/>
      <c r="J103" s="7">
        <f t="shared" si="13"/>
        <v>1.1494081174780314E-3</v>
      </c>
      <c r="K103" s="3"/>
      <c r="L103" s="8">
        <f t="shared" si="14"/>
        <v>201.45000000000002</v>
      </c>
      <c r="M103" s="3"/>
      <c r="N103" s="7">
        <f t="shared" si="15"/>
        <v>1.7570867858700394</v>
      </c>
      <c r="O103" s="12"/>
      <c r="P103" s="8">
        <v>2932.14</v>
      </c>
      <c r="Q103" s="3"/>
      <c r="R103" s="7">
        <f t="shared" si="16"/>
        <v>1.1641949668870638E-3</v>
      </c>
      <c r="S103" s="3"/>
      <c r="T103" s="8">
        <v>12775.32</v>
      </c>
      <c r="U103" s="3"/>
      <c r="V103" s="7">
        <f t="shared" si="17"/>
        <v>1.1336797002638377E-2</v>
      </c>
      <c r="W103" s="3"/>
      <c r="X103" s="8">
        <f t="shared" si="18"/>
        <v>-9843.18</v>
      </c>
      <c r="Y103" s="3"/>
      <c r="Z103" s="7">
        <f t="shared" si="19"/>
        <v>-0.77048402701458751</v>
      </c>
    </row>
    <row r="104" spans="1:26" s="68" customFormat="1" ht="15" customHeight="1" outlineLevel="1" collapsed="1" x14ac:dyDescent="0.3">
      <c r="A104" s="25"/>
      <c r="B104" s="14" t="str">
        <f>CONCATENATE("     ","Discounts and Markdowns                           ")</f>
        <v xml:space="preserve">     Discounts and Markdowns                           </v>
      </c>
      <c r="C104" s="14"/>
      <c r="D104" s="2">
        <f>SUM(OSRRefD22_3x_0)</f>
        <v>0</v>
      </c>
      <c r="E104" s="2"/>
      <c r="F104" s="6">
        <f t="shared" si="12"/>
        <v>0</v>
      </c>
      <c r="G104" s="2"/>
      <c r="H104" s="2">
        <f>SUM(OSRRefH22_3x_0)</f>
        <v>0</v>
      </c>
      <c r="I104" s="2"/>
      <c r="J104" s="6">
        <f t="shared" si="13"/>
        <v>0</v>
      </c>
      <c r="K104" s="2"/>
      <c r="L104" s="2">
        <f t="shared" si="14"/>
        <v>0</v>
      </c>
      <c r="M104" s="2"/>
      <c r="N104" s="6">
        <f t="shared" si="15"/>
        <v>0</v>
      </c>
      <c r="O104" s="14"/>
      <c r="P104" s="2">
        <f>SUM(OSRRefP22_3x_0)</f>
        <v>0</v>
      </c>
      <c r="Q104" s="2"/>
      <c r="R104" s="6">
        <f t="shared" si="16"/>
        <v>0</v>
      </c>
      <c r="S104" s="2"/>
      <c r="T104" s="2">
        <f>SUM(OSRRefT22_3x_0)</f>
        <v>0</v>
      </c>
      <c r="U104" s="2"/>
      <c r="V104" s="6">
        <f t="shared" si="17"/>
        <v>0</v>
      </c>
      <c r="W104" s="2"/>
      <c r="X104" s="2">
        <f t="shared" si="18"/>
        <v>0</v>
      </c>
      <c r="Y104" s="2"/>
      <c r="Z104" s="6">
        <f t="shared" si="19"/>
        <v>0</v>
      </c>
    </row>
    <row r="105" spans="1:26" s="69" customFormat="1" ht="15" hidden="1" customHeight="1" outlineLevel="2" x14ac:dyDescent="0.3">
      <c r="A105" s="26"/>
      <c r="B105" s="12" t="str">
        <f>CONCATENATE("          ","6382"," - ","DISCOUNTS/MARK DOWNS")</f>
        <v xml:space="preserve">          6382 - DISCOUNTS/MARK DOWNS</v>
      </c>
      <c r="C105" s="12"/>
      <c r="D105" s="8"/>
      <c r="E105" s="3"/>
      <c r="F105" s="7">
        <f t="shared" si="12"/>
        <v>0</v>
      </c>
      <c r="G105" s="3"/>
      <c r="H105" s="8">
        <v>0</v>
      </c>
      <c r="I105" s="3"/>
      <c r="J105" s="7">
        <f t="shared" si="13"/>
        <v>0</v>
      </c>
      <c r="K105" s="3"/>
      <c r="L105" s="8">
        <f t="shared" si="14"/>
        <v>0</v>
      </c>
      <c r="M105" s="3"/>
      <c r="N105" s="7">
        <f t="shared" si="15"/>
        <v>0</v>
      </c>
      <c r="O105" s="12"/>
      <c r="P105" s="8"/>
      <c r="Q105" s="3"/>
      <c r="R105" s="7">
        <f t="shared" si="16"/>
        <v>0</v>
      </c>
      <c r="S105" s="3"/>
      <c r="T105" s="8">
        <v>0</v>
      </c>
      <c r="U105" s="3"/>
      <c r="V105" s="7">
        <f t="shared" si="17"/>
        <v>0</v>
      </c>
      <c r="W105" s="3"/>
      <c r="X105" s="8">
        <f t="shared" si="18"/>
        <v>0</v>
      </c>
      <c r="Y105" s="3"/>
      <c r="Z105" s="7">
        <f t="shared" si="19"/>
        <v>0</v>
      </c>
    </row>
    <row r="106" spans="1:26" s="69" customFormat="1" ht="15" hidden="1" customHeight="1" outlineLevel="2" x14ac:dyDescent="0.3">
      <c r="A106" s="26"/>
      <c r="B106" s="12" t="str">
        <f>CONCATENATE("          ","9175"," - ","EARNED DISCOUNTS")</f>
        <v xml:space="preserve">          9175 - EARNED DISCOUNTS</v>
      </c>
      <c r="C106" s="12"/>
      <c r="D106" s="8"/>
      <c r="E106" s="3"/>
      <c r="F106" s="7">
        <f t="shared" si="12"/>
        <v>0</v>
      </c>
      <c r="G106" s="3"/>
      <c r="H106" s="8"/>
      <c r="I106" s="3"/>
      <c r="J106" s="7">
        <f t="shared" si="13"/>
        <v>0</v>
      </c>
      <c r="K106" s="3"/>
      <c r="L106" s="8">
        <f t="shared" si="14"/>
        <v>0</v>
      </c>
      <c r="M106" s="3"/>
      <c r="N106" s="7">
        <f t="shared" si="15"/>
        <v>0</v>
      </c>
      <c r="O106" s="12"/>
      <c r="P106" s="8">
        <v>0</v>
      </c>
      <c r="Q106" s="3"/>
      <c r="R106" s="7">
        <f t="shared" si="16"/>
        <v>0</v>
      </c>
      <c r="S106" s="3"/>
      <c r="T106" s="8"/>
      <c r="U106" s="3"/>
      <c r="V106" s="7">
        <f t="shared" si="17"/>
        <v>0</v>
      </c>
      <c r="W106" s="3"/>
      <c r="X106" s="8">
        <f t="shared" si="18"/>
        <v>0</v>
      </c>
      <c r="Y106" s="3"/>
      <c r="Z106" s="7">
        <f t="shared" si="19"/>
        <v>0</v>
      </c>
    </row>
    <row r="107" spans="1:26" s="68" customFormat="1" ht="15" customHeight="1" outlineLevel="1" collapsed="1" x14ac:dyDescent="0.3">
      <c r="A107" s="25"/>
      <c r="B107" s="14" t="str">
        <f>CONCATENATE("     ","Employees' Appreciation                           ")</f>
        <v xml:space="preserve">     Employees' Appreciation                           </v>
      </c>
      <c r="C107" s="14"/>
      <c r="D107" s="2">
        <f>SUM(OSRRefD22_4x_0)</f>
        <v>0</v>
      </c>
      <c r="E107" s="2"/>
      <c r="F107" s="6">
        <f t="shared" si="12"/>
        <v>0</v>
      </c>
      <c r="G107" s="2"/>
      <c r="H107" s="2">
        <f>SUM(OSRRefH22_4x_0)</f>
        <v>0</v>
      </c>
      <c r="I107" s="2"/>
      <c r="J107" s="6">
        <f t="shared" si="13"/>
        <v>0</v>
      </c>
      <c r="K107" s="2"/>
      <c r="L107" s="2">
        <f t="shared" si="14"/>
        <v>0</v>
      </c>
      <c r="M107" s="2"/>
      <c r="N107" s="6">
        <f t="shared" si="15"/>
        <v>0</v>
      </c>
      <c r="O107" s="14"/>
      <c r="P107" s="2">
        <f>SUM(OSRRefP22_4x_0)</f>
        <v>216.44</v>
      </c>
      <c r="Q107" s="2"/>
      <c r="R107" s="6">
        <f t="shared" si="16"/>
        <v>8.593667377172854E-5</v>
      </c>
      <c r="S107" s="2"/>
      <c r="T107" s="2">
        <f>SUM(OSRRefT22_4x_0)</f>
        <v>0</v>
      </c>
      <c r="U107" s="2"/>
      <c r="V107" s="6">
        <f t="shared" si="17"/>
        <v>0</v>
      </c>
      <c r="W107" s="2"/>
      <c r="X107" s="2">
        <f t="shared" si="18"/>
        <v>216.44</v>
      </c>
      <c r="Y107" s="2"/>
      <c r="Z107" s="6">
        <f t="shared" si="19"/>
        <v>0</v>
      </c>
    </row>
    <row r="108" spans="1:26" s="69" customFormat="1" ht="15" hidden="1" customHeight="1" outlineLevel="2" x14ac:dyDescent="0.3">
      <c r="A108" s="26"/>
      <c r="B108" s="12" t="str">
        <f>CONCATENATE("          ","6277"," - ","EMPLOYEE APPRECIATION")</f>
        <v xml:space="preserve">          6277 - EMPLOYEE APPRECIATION</v>
      </c>
      <c r="C108" s="12"/>
      <c r="D108" s="8"/>
      <c r="E108" s="3"/>
      <c r="F108" s="7">
        <f t="shared" si="12"/>
        <v>0</v>
      </c>
      <c r="G108" s="3"/>
      <c r="H108" s="8"/>
      <c r="I108" s="3"/>
      <c r="J108" s="7">
        <f t="shared" si="13"/>
        <v>0</v>
      </c>
      <c r="K108" s="3"/>
      <c r="L108" s="8">
        <f t="shared" si="14"/>
        <v>0</v>
      </c>
      <c r="M108" s="3"/>
      <c r="N108" s="7">
        <f t="shared" si="15"/>
        <v>0</v>
      </c>
      <c r="O108" s="12"/>
      <c r="P108" s="8">
        <v>216.44</v>
      </c>
      <c r="Q108" s="3"/>
      <c r="R108" s="7">
        <f t="shared" si="16"/>
        <v>8.593667377172854E-5</v>
      </c>
      <c r="S108" s="3"/>
      <c r="T108" s="8"/>
      <c r="U108" s="3"/>
      <c r="V108" s="7">
        <f t="shared" si="17"/>
        <v>0</v>
      </c>
      <c r="W108" s="3"/>
      <c r="X108" s="8">
        <f t="shared" si="18"/>
        <v>216.44</v>
      </c>
      <c r="Y108" s="3"/>
      <c r="Z108" s="7">
        <f t="shared" si="19"/>
        <v>0</v>
      </c>
    </row>
    <row r="109" spans="1:26" s="68" customFormat="1" ht="15" customHeight="1" outlineLevel="1" collapsed="1" x14ac:dyDescent="0.3">
      <c r="A109" s="25"/>
      <c r="B109" s="14" t="str">
        <f>CONCATENATE("     ","Equipment Rental                                  ")</f>
        <v xml:space="preserve">     Equipment Rental       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118.91</v>
      </c>
      <c r="Q109" s="2"/>
      <c r="R109" s="6">
        <f t="shared" si="16"/>
        <v>4.7212760479561263E-5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118.91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6"/>
      <c r="B110" s="12" t="str">
        <f>CONCATENATE("          ","6351"," - ","EQUIPMENT RENTAL")</f>
        <v xml:space="preserve">          6351 - EQUIPMENT RENTAL</v>
      </c>
      <c r="C110" s="12"/>
      <c r="D110" s="8"/>
      <c r="E110" s="3"/>
      <c r="F110" s="7">
        <f t="shared" si="12"/>
        <v>0</v>
      </c>
      <c r="G110" s="3"/>
      <c r="H110" s="8"/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>
        <v>118.91</v>
      </c>
      <c r="Q110" s="3"/>
      <c r="R110" s="7">
        <f t="shared" si="16"/>
        <v>4.7212760479561263E-5</v>
      </c>
      <c r="S110" s="3"/>
      <c r="T110" s="8"/>
      <c r="U110" s="3"/>
      <c r="V110" s="7">
        <f t="shared" si="17"/>
        <v>0</v>
      </c>
      <c r="W110" s="3"/>
      <c r="X110" s="8">
        <f t="shared" si="18"/>
        <v>118.91</v>
      </c>
      <c r="Y110" s="3"/>
      <c r="Z110" s="7">
        <f t="shared" si="19"/>
        <v>0</v>
      </c>
    </row>
    <row r="111" spans="1:26" s="68" customFormat="1" ht="15" customHeight="1" outlineLevel="1" collapsed="1" x14ac:dyDescent="0.3">
      <c r="A111" s="25"/>
      <c r="B111" s="14" t="str">
        <f>CONCATENATE("     ","Freight out/Postage                               ")</f>
        <v xml:space="preserve">     Freight out/Postage                               </v>
      </c>
      <c r="C111" s="14"/>
      <c r="D111" s="2">
        <f>SUM(OSRRefD22_6x_0)</f>
        <v>0</v>
      </c>
      <c r="E111" s="2"/>
      <c r="F111" s="6">
        <f t="shared" si="12"/>
        <v>0</v>
      </c>
      <c r="G111" s="2"/>
      <c r="H111" s="2">
        <f>SUM(OSRRefH22_6x_0)</f>
        <v>52.110000000000007</v>
      </c>
      <c r="I111" s="2"/>
      <c r="J111" s="6">
        <f t="shared" si="13"/>
        <v>5.2242177934391819E-4</v>
      </c>
      <c r="K111" s="2"/>
      <c r="L111" s="2">
        <f t="shared" si="14"/>
        <v>-52.110000000000007</v>
      </c>
      <c r="M111" s="2"/>
      <c r="N111" s="6">
        <f t="shared" si="15"/>
        <v>-1</v>
      </c>
      <c r="O111" s="14"/>
      <c r="P111" s="2">
        <f>SUM(OSRRefP22_6x_0)</f>
        <v>929.29</v>
      </c>
      <c r="Q111" s="2"/>
      <c r="R111" s="6">
        <f t="shared" si="16"/>
        <v>3.6897103848331923E-4</v>
      </c>
      <c r="S111" s="2"/>
      <c r="T111" s="2">
        <f>SUM(OSRRefT22_6x_0)</f>
        <v>286.53000000000003</v>
      </c>
      <c r="U111" s="2"/>
      <c r="V111" s="6">
        <f t="shared" si="17"/>
        <v>2.5426622935206122E-4</v>
      </c>
      <c r="W111" s="2"/>
      <c r="X111" s="2">
        <f t="shared" si="18"/>
        <v>642.76</v>
      </c>
      <c r="Y111" s="2"/>
      <c r="Z111" s="6">
        <f t="shared" si="19"/>
        <v>2.2432555055317067</v>
      </c>
    </row>
    <row r="112" spans="1:26" s="69" customFormat="1" ht="15" hidden="1" customHeight="1" outlineLevel="2" x14ac:dyDescent="0.3">
      <c r="A112" s="26"/>
      <c r="B112" s="12" t="str">
        <f>CONCATENATE("          ","6305"," - ","FREIGHT OUT")</f>
        <v xml:space="preserve">          6305 - FREIGHT OUT</v>
      </c>
      <c r="C112" s="12"/>
      <c r="D112" s="8"/>
      <c r="E112" s="3"/>
      <c r="F112" s="7">
        <f t="shared" si="12"/>
        <v>0</v>
      </c>
      <c r="G112" s="3"/>
      <c r="H112" s="8">
        <v>66.260000000000005</v>
      </c>
      <c r="I112" s="3"/>
      <c r="J112" s="7">
        <f t="shared" si="13"/>
        <v>6.6428069659044359E-4</v>
      </c>
      <c r="K112" s="3"/>
      <c r="L112" s="8">
        <f t="shared" si="14"/>
        <v>-66.260000000000005</v>
      </c>
      <c r="M112" s="3"/>
      <c r="N112" s="7">
        <f t="shared" si="15"/>
        <v>-1</v>
      </c>
      <c r="O112" s="12"/>
      <c r="P112" s="8">
        <v>893.87</v>
      </c>
      <c r="Q112" s="3"/>
      <c r="R112" s="7">
        <f t="shared" si="16"/>
        <v>3.5490766302132226E-4</v>
      </c>
      <c r="S112" s="3"/>
      <c r="T112" s="8">
        <v>306.68</v>
      </c>
      <c r="U112" s="3"/>
      <c r="V112" s="7">
        <f t="shared" si="17"/>
        <v>2.7214730470697703E-4</v>
      </c>
      <c r="W112" s="3"/>
      <c r="X112" s="8">
        <f t="shared" si="18"/>
        <v>587.19000000000005</v>
      </c>
      <c r="Y112" s="3"/>
      <c r="Z112" s="7">
        <f t="shared" si="19"/>
        <v>1.914666753619408</v>
      </c>
    </row>
    <row r="113" spans="1:26" s="69" customFormat="1" ht="15" hidden="1" customHeight="1" outlineLevel="2" x14ac:dyDescent="0.3">
      <c r="A113" s="26"/>
      <c r="B113" s="12" t="str">
        <f>CONCATENATE("          ","6307"," - ","POSTAGE")</f>
        <v xml:space="preserve">          6307 - POSTAGE</v>
      </c>
      <c r="C113" s="12"/>
      <c r="D113" s="8"/>
      <c r="E113" s="3"/>
      <c r="F113" s="7">
        <f t="shared" si="12"/>
        <v>0</v>
      </c>
      <c r="G113" s="3"/>
      <c r="H113" s="8">
        <v>-14.15</v>
      </c>
      <c r="I113" s="3"/>
      <c r="J113" s="7">
        <f t="shared" si="13"/>
        <v>-1.4185891724652545E-4</v>
      </c>
      <c r="K113" s="3"/>
      <c r="L113" s="8">
        <f t="shared" si="14"/>
        <v>14.15</v>
      </c>
      <c r="M113" s="3"/>
      <c r="N113" s="7">
        <f t="shared" si="15"/>
        <v>-1</v>
      </c>
      <c r="O113" s="12"/>
      <c r="P113" s="8">
        <v>35.42</v>
      </c>
      <c r="Q113" s="3"/>
      <c r="R113" s="7">
        <f t="shared" si="16"/>
        <v>1.4063375461996974E-5</v>
      </c>
      <c r="S113" s="3"/>
      <c r="T113" s="8">
        <v>-20.149999999999999</v>
      </c>
      <c r="U113" s="3"/>
      <c r="V113" s="7">
        <f t="shared" si="17"/>
        <v>-1.788107535491583E-5</v>
      </c>
      <c r="W113" s="3"/>
      <c r="X113" s="8">
        <f t="shared" si="18"/>
        <v>55.57</v>
      </c>
      <c r="Y113" s="3"/>
      <c r="Z113" s="7">
        <f t="shared" si="19"/>
        <v>-2.7578163771712161</v>
      </c>
    </row>
    <row r="114" spans="1:26" s="68" customFormat="1" ht="15" customHeight="1" outlineLevel="1" collapsed="1" x14ac:dyDescent="0.3">
      <c r="A114" s="25"/>
      <c r="B114" s="14" t="str">
        <f>CONCATENATE("     ","General                                           ")</f>
        <v xml:space="preserve">     General                                           </v>
      </c>
      <c r="C114" s="14"/>
      <c r="D114" s="2">
        <f>SUM(OSRRefD22_7x_0)</f>
        <v>1157.1099999999999</v>
      </c>
      <c r="E114" s="2"/>
      <c r="F114" s="6">
        <f t="shared" si="12"/>
        <v>2.2896957103611206E-3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1157.1099999999999</v>
      </c>
      <c r="M114" s="2"/>
      <c r="N114" s="6">
        <f t="shared" si="15"/>
        <v>0</v>
      </c>
      <c r="O114" s="14"/>
      <c r="P114" s="2">
        <f>SUM(OSRRefP22_7x_0)</f>
        <v>1157.1099999999999</v>
      </c>
      <c r="Q114" s="2"/>
      <c r="R114" s="6">
        <f t="shared" si="16"/>
        <v>4.5942609770839403E-4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1157.1099999999999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","6279"," - ","GENERAL EXPENSE")</f>
        <v xml:space="preserve">          6279 - GENERAL EXPENSE</v>
      </c>
      <c r="C115" s="12"/>
      <c r="D115" s="8">
        <v>1157.1099999999999</v>
      </c>
      <c r="E115" s="3"/>
      <c r="F115" s="7">
        <f t="shared" si="12"/>
        <v>2.2896957103611206E-3</v>
      </c>
      <c r="G115" s="3"/>
      <c r="H115" s="8"/>
      <c r="I115" s="3"/>
      <c r="J115" s="7">
        <f t="shared" si="13"/>
        <v>0</v>
      </c>
      <c r="K115" s="3"/>
      <c r="L115" s="8">
        <f t="shared" si="14"/>
        <v>1157.1099999999999</v>
      </c>
      <c r="M115" s="3"/>
      <c r="N115" s="7">
        <f t="shared" si="15"/>
        <v>0</v>
      </c>
      <c r="O115" s="12"/>
      <c r="P115" s="8">
        <v>1157.1099999999999</v>
      </c>
      <c r="Q115" s="3"/>
      <c r="R115" s="7">
        <f t="shared" si="16"/>
        <v>4.5942609770839403E-4</v>
      </c>
      <c r="S115" s="3"/>
      <c r="T115" s="8"/>
      <c r="U115" s="3"/>
      <c r="V115" s="7">
        <f t="shared" si="17"/>
        <v>0</v>
      </c>
      <c r="W115" s="3"/>
      <c r="X115" s="8">
        <f t="shared" si="18"/>
        <v>1157.1099999999999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","Inventory Adjustment                              ")</f>
        <v xml:space="preserve">     Inventory Adjustment                              </v>
      </c>
      <c r="C116" s="14"/>
      <c r="D116" s="2">
        <f>SUM(OSRRefD22_8x_0)</f>
        <v>3350</v>
      </c>
      <c r="E116" s="2"/>
      <c r="F116" s="6">
        <f t="shared" si="12"/>
        <v>6.6289986515627331E-3</v>
      </c>
      <c r="G116" s="2"/>
      <c r="H116" s="2">
        <f>SUM(OSRRefH22_8x_0)</f>
        <v>1000</v>
      </c>
      <c r="I116" s="2"/>
      <c r="J116" s="6">
        <f t="shared" si="13"/>
        <v>1.0025365176432894E-2</v>
      </c>
      <c r="K116" s="2"/>
      <c r="L116" s="2">
        <f t="shared" si="14"/>
        <v>2350</v>
      </c>
      <c r="M116" s="2"/>
      <c r="N116" s="6">
        <f t="shared" si="15"/>
        <v>2.35</v>
      </c>
      <c r="O116" s="14"/>
      <c r="P116" s="2">
        <f>SUM(OSRRefP22_8x_0)</f>
        <v>26800</v>
      </c>
      <c r="Q116" s="2"/>
      <c r="R116" s="6">
        <f t="shared" si="16"/>
        <v>1.064083744724785E-2</v>
      </c>
      <c r="S116" s="2"/>
      <c r="T116" s="2">
        <f>SUM(OSRRefT22_8x_0)</f>
        <v>8000</v>
      </c>
      <c r="U116" s="2"/>
      <c r="V116" s="6">
        <f t="shared" si="17"/>
        <v>7.0991862451278732E-3</v>
      </c>
      <c r="W116" s="2"/>
      <c r="X116" s="2">
        <f t="shared" si="18"/>
        <v>18800</v>
      </c>
      <c r="Y116" s="2"/>
      <c r="Z116" s="6">
        <f t="shared" si="19"/>
        <v>2.35</v>
      </c>
    </row>
    <row r="117" spans="1:26" s="69" customFormat="1" ht="15" hidden="1" customHeight="1" outlineLevel="2" x14ac:dyDescent="0.3">
      <c r="A117" s="26"/>
      <c r="B117" s="12" t="str">
        <f>CONCATENATE("          ","6408"," - ","INVENTORY ADJUSTMENT")</f>
        <v xml:space="preserve">          6408 - INVENTORY ADJUSTMENT</v>
      </c>
      <c r="C117" s="12"/>
      <c r="D117" s="8">
        <v>3350</v>
      </c>
      <c r="E117" s="3"/>
      <c r="F117" s="7">
        <f t="shared" ref="F117:F141" si="20">IF(D$12=0,0,D117/D$12)</f>
        <v>6.6289986515627331E-3</v>
      </c>
      <c r="G117" s="3"/>
      <c r="H117" s="8">
        <v>1000</v>
      </c>
      <c r="I117" s="3"/>
      <c r="J117" s="7">
        <f t="shared" ref="J117:J141" si="21">IF(H$12=0,0,H117/H$12)</f>
        <v>1.0025365176432894E-2</v>
      </c>
      <c r="K117" s="3"/>
      <c r="L117" s="8">
        <f t="shared" ref="L117:L141" si="22">+D117-H117</f>
        <v>2350</v>
      </c>
      <c r="M117" s="3"/>
      <c r="N117" s="7">
        <f t="shared" ref="N117:N141" si="23">IF(H117=0,0,L117/H117)</f>
        <v>2.35</v>
      </c>
      <c r="O117" s="12"/>
      <c r="P117" s="8">
        <v>26800</v>
      </c>
      <c r="Q117" s="3"/>
      <c r="R117" s="7">
        <f t="shared" ref="R117:R141" si="24">IF(P$12=0,0,P117/P$12)</f>
        <v>1.064083744724785E-2</v>
      </c>
      <c r="S117" s="3"/>
      <c r="T117" s="8">
        <v>8000</v>
      </c>
      <c r="U117" s="3"/>
      <c r="V117" s="7">
        <f t="shared" ref="V117:V141" si="25">IF(T$12=0,0,T117/T$12)</f>
        <v>7.0991862451278732E-3</v>
      </c>
      <c r="W117" s="3"/>
      <c r="X117" s="8">
        <f t="shared" ref="X117:X141" si="26">+P117-T117</f>
        <v>18800</v>
      </c>
      <c r="Y117" s="3"/>
      <c r="Z117" s="7">
        <f t="shared" ref="Z117:Z141" si="27">IF(T117=0,0,X117/T117)</f>
        <v>2.35</v>
      </c>
    </row>
    <row r="118" spans="1:26" s="69" customFormat="1" ht="15" hidden="1" customHeight="1" outlineLevel="2" x14ac:dyDescent="0.3">
      <c r="A118" s="26"/>
      <c r="B118" s="12" t="str">
        <f>CONCATENATE("          ","7741"," - ","INV. SHRINKAGE-LOGO GIFTS")</f>
        <v xml:space="preserve">          7741 - INV. SHRINKAGE-LOGO GIFTS</v>
      </c>
      <c r="C118" s="12"/>
      <c r="D118" s="8"/>
      <c r="E118" s="3"/>
      <c r="F118" s="7">
        <f t="shared" si="20"/>
        <v>0</v>
      </c>
      <c r="G118" s="3"/>
      <c r="H118" s="8"/>
      <c r="I118" s="3"/>
      <c r="J118" s="7">
        <f t="shared" si="21"/>
        <v>0</v>
      </c>
      <c r="K118" s="3"/>
      <c r="L118" s="8">
        <f t="shared" si="22"/>
        <v>0</v>
      </c>
      <c r="M118" s="3"/>
      <c r="N118" s="7">
        <f t="shared" si="23"/>
        <v>0</v>
      </c>
      <c r="O118" s="12"/>
      <c r="P118" s="8"/>
      <c r="Q118" s="3"/>
      <c r="R118" s="7">
        <f t="shared" si="24"/>
        <v>0</v>
      </c>
      <c r="S118" s="3"/>
      <c r="T118" s="8">
        <v>0</v>
      </c>
      <c r="U118" s="3"/>
      <c r="V118" s="7">
        <f t="shared" si="25"/>
        <v>0</v>
      </c>
      <c r="W118" s="3"/>
      <c r="X118" s="8">
        <f t="shared" si="26"/>
        <v>0</v>
      </c>
      <c r="Y118" s="3"/>
      <c r="Z118" s="7">
        <f t="shared" si="27"/>
        <v>0</v>
      </c>
    </row>
    <row r="119" spans="1:26" s="68" customFormat="1" ht="15" customHeight="1" outlineLevel="1" collapsed="1" x14ac:dyDescent="0.3">
      <c r="A119" s="25"/>
      <c r="B119" s="14" t="str">
        <f>CONCATENATE("     ","Professional Services                             ")</f>
        <v xml:space="preserve">     Professional Services                             </v>
      </c>
      <c r="C119" s="14"/>
      <c r="D119" s="2">
        <f>SUM(OSRRefD22_9x_0)</f>
        <v>390</v>
      </c>
      <c r="E119" s="2"/>
      <c r="F119" s="6">
        <f t="shared" si="20"/>
        <v>7.7173417137596002E-4</v>
      </c>
      <c r="G119" s="2"/>
      <c r="H119" s="2">
        <f>SUM(OSRRefH22_9x_0)</f>
        <v>0</v>
      </c>
      <c r="I119" s="2"/>
      <c r="J119" s="6">
        <f t="shared" si="21"/>
        <v>0</v>
      </c>
      <c r="K119" s="2"/>
      <c r="L119" s="2">
        <f t="shared" si="22"/>
        <v>390</v>
      </c>
      <c r="M119" s="2"/>
      <c r="N119" s="6">
        <f t="shared" si="23"/>
        <v>0</v>
      </c>
      <c r="O119" s="14"/>
      <c r="P119" s="2">
        <f>SUM(OSRRefP22_9x_0)</f>
        <v>897.64</v>
      </c>
      <c r="Q119" s="2"/>
      <c r="R119" s="6">
        <f t="shared" si="24"/>
        <v>3.5640452709505825E-4</v>
      </c>
      <c r="S119" s="2"/>
      <c r="T119" s="2">
        <f>SUM(OSRRefT22_9x_0)</f>
        <v>0</v>
      </c>
      <c r="U119" s="2"/>
      <c r="V119" s="6">
        <f t="shared" si="25"/>
        <v>0</v>
      </c>
      <c r="W119" s="2"/>
      <c r="X119" s="2">
        <f t="shared" si="26"/>
        <v>897.64</v>
      </c>
      <c r="Y119" s="2"/>
      <c r="Z119" s="6">
        <f t="shared" si="27"/>
        <v>0</v>
      </c>
    </row>
    <row r="120" spans="1:26" s="69" customFormat="1" ht="15" hidden="1" customHeight="1" outlineLevel="2" x14ac:dyDescent="0.3">
      <c r="A120" s="26"/>
      <c r="B120" s="12" t="str">
        <f>CONCATENATE("          ","6336"," - ","PROFESSIONAL SERVICES")</f>
        <v xml:space="preserve">          6336 - PROFESSIONAL SERVICES</v>
      </c>
      <c r="C120" s="12"/>
      <c r="D120" s="8">
        <v>390</v>
      </c>
      <c r="E120" s="3"/>
      <c r="F120" s="7">
        <f t="shared" si="20"/>
        <v>7.7173417137596002E-4</v>
      </c>
      <c r="G120" s="3"/>
      <c r="H120" s="8"/>
      <c r="I120" s="3"/>
      <c r="J120" s="7">
        <f t="shared" si="21"/>
        <v>0</v>
      </c>
      <c r="K120" s="3"/>
      <c r="L120" s="8">
        <f t="shared" si="22"/>
        <v>390</v>
      </c>
      <c r="M120" s="3"/>
      <c r="N120" s="7">
        <f t="shared" si="23"/>
        <v>0</v>
      </c>
      <c r="O120" s="12"/>
      <c r="P120" s="8">
        <v>897.64</v>
      </c>
      <c r="Q120" s="3"/>
      <c r="R120" s="7">
        <f t="shared" si="24"/>
        <v>3.5640452709505825E-4</v>
      </c>
      <c r="S120" s="3"/>
      <c r="T120" s="8"/>
      <c r="U120" s="3"/>
      <c r="V120" s="7">
        <f t="shared" si="25"/>
        <v>0</v>
      </c>
      <c r="W120" s="3"/>
      <c r="X120" s="8">
        <f t="shared" si="26"/>
        <v>897.64</v>
      </c>
      <c r="Y120" s="3"/>
      <c r="Z120" s="7">
        <f t="shared" si="27"/>
        <v>0</v>
      </c>
    </row>
    <row r="121" spans="1:26" s="68" customFormat="1" ht="15" customHeight="1" outlineLevel="1" collapsed="1" x14ac:dyDescent="0.3">
      <c r="A121" s="25"/>
      <c r="B121" s="14" t="str">
        <f>CONCATENATE("     ","Repair and Maintenance                            ")</f>
        <v xml:space="preserve">     Repair and Maintenance                            </v>
      </c>
      <c r="C121" s="14"/>
      <c r="D121" s="2">
        <f>SUM(OSRRefD22_10x_0)</f>
        <v>20.29</v>
      </c>
      <c r="E121" s="2"/>
      <c r="F121" s="6">
        <f t="shared" si="20"/>
        <v>4.0149964967226226E-5</v>
      </c>
      <c r="G121" s="2"/>
      <c r="H121" s="2">
        <f>SUM(OSRRefH22_10x_0)</f>
        <v>0</v>
      </c>
      <c r="I121" s="2"/>
      <c r="J121" s="6">
        <f t="shared" si="21"/>
        <v>0</v>
      </c>
      <c r="K121" s="2"/>
      <c r="L121" s="2">
        <f t="shared" si="22"/>
        <v>20.29</v>
      </c>
      <c r="M121" s="2"/>
      <c r="N121" s="6">
        <f t="shared" si="23"/>
        <v>0</v>
      </c>
      <c r="O121" s="14"/>
      <c r="P121" s="2">
        <f>SUM(OSRRefP22_10x_0)</f>
        <v>1704.58</v>
      </c>
      <c r="Q121" s="2"/>
      <c r="R121" s="6">
        <f t="shared" si="24"/>
        <v>6.767969662623038E-4</v>
      </c>
      <c r="S121" s="2"/>
      <c r="T121" s="2">
        <f>SUM(OSRRefT22_10x_0)</f>
        <v>0</v>
      </c>
      <c r="U121" s="2"/>
      <c r="V121" s="6">
        <f t="shared" si="25"/>
        <v>0</v>
      </c>
      <c r="W121" s="2"/>
      <c r="X121" s="2">
        <f t="shared" si="26"/>
        <v>1704.58</v>
      </c>
      <c r="Y121" s="2"/>
      <c r="Z121" s="6">
        <f t="shared" si="27"/>
        <v>0</v>
      </c>
    </row>
    <row r="122" spans="1:26" s="69" customFormat="1" ht="15" hidden="1" customHeight="1" outlineLevel="2" x14ac:dyDescent="0.3">
      <c r="A122" s="26"/>
      <c r="B122" s="12" t="str">
        <f>CONCATENATE("          ","6373"," - ","MAINTENANCE CONTRACTS")</f>
        <v xml:space="preserve">          6373 - MAINTENANCE CONTRACTS</v>
      </c>
      <c r="C122" s="12"/>
      <c r="D122" s="8">
        <v>12.04</v>
      </c>
      <c r="E122" s="3"/>
      <c r="F122" s="7">
        <f t="shared" si="20"/>
        <v>2.3824819034273224E-5</v>
      </c>
      <c r="G122" s="3"/>
      <c r="H122" s="8"/>
      <c r="I122" s="3"/>
      <c r="J122" s="7">
        <f t="shared" si="21"/>
        <v>0</v>
      </c>
      <c r="K122" s="3"/>
      <c r="L122" s="8">
        <f t="shared" si="22"/>
        <v>12.04</v>
      </c>
      <c r="M122" s="3"/>
      <c r="N122" s="7">
        <f t="shared" si="23"/>
        <v>0</v>
      </c>
      <c r="O122" s="12"/>
      <c r="P122" s="8">
        <v>17.739999999999998</v>
      </c>
      <c r="Q122" s="3"/>
      <c r="R122" s="7">
        <f t="shared" si="24"/>
        <v>7.0435991162006286E-6</v>
      </c>
      <c r="S122" s="3"/>
      <c r="T122" s="8"/>
      <c r="U122" s="3"/>
      <c r="V122" s="7">
        <f t="shared" si="25"/>
        <v>0</v>
      </c>
      <c r="W122" s="3"/>
      <c r="X122" s="8">
        <f t="shared" si="26"/>
        <v>17.739999999999998</v>
      </c>
      <c r="Y122" s="3"/>
      <c r="Z122" s="7">
        <f t="shared" si="27"/>
        <v>0</v>
      </c>
    </row>
    <row r="123" spans="1:26" s="69" customFormat="1" ht="15" hidden="1" customHeight="1" outlineLevel="2" x14ac:dyDescent="0.3">
      <c r="A123" s="26"/>
      <c r="B123" s="12" t="str">
        <f>CONCATENATE("          ","6375"," - ","OUTSIDE REPAIRS &amp; MAINTENANCE")</f>
        <v xml:space="preserve">          6375 - OUTSIDE REPAIRS &amp; MAINTENANCE</v>
      </c>
      <c r="C123" s="12"/>
      <c r="D123" s="8">
        <v>8.25</v>
      </c>
      <c r="E123" s="3"/>
      <c r="F123" s="7">
        <f t="shared" si="20"/>
        <v>1.6325145932953002E-5</v>
      </c>
      <c r="G123" s="3"/>
      <c r="H123" s="8"/>
      <c r="I123" s="3"/>
      <c r="J123" s="7">
        <f t="shared" si="21"/>
        <v>0</v>
      </c>
      <c r="K123" s="3"/>
      <c r="L123" s="8">
        <f t="shared" si="22"/>
        <v>8.25</v>
      </c>
      <c r="M123" s="3"/>
      <c r="N123" s="7">
        <f t="shared" si="23"/>
        <v>0</v>
      </c>
      <c r="O123" s="12"/>
      <c r="P123" s="8">
        <v>1686.84</v>
      </c>
      <c r="Q123" s="3"/>
      <c r="R123" s="7">
        <f t="shared" si="24"/>
        <v>6.6975336714610316E-4</v>
      </c>
      <c r="S123" s="3"/>
      <c r="T123" s="8"/>
      <c r="U123" s="3"/>
      <c r="V123" s="7">
        <f t="shared" si="25"/>
        <v>0</v>
      </c>
      <c r="W123" s="3"/>
      <c r="X123" s="8">
        <f t="shared" si="26"/>
        <v>1686.84</v>
      </c>
      <c r="Y123" s="3"/>
      <c r="Z123" s="7">
        <f t="shared" si="27"/>
        <v>0</v>
      </c>
    </row>
    <row r="124" spans="1:26" s="68" customFormat="1" ht="15" customHeight="1" outlineLevel="1" collapsed="1" x14ac:dyDescent="0.3">
      <c r="A124" s="25"/>
      <c r="B124" s="14" t="str">
        <f>CONCATENATE("     ","Royalty &amp; Commissions                             ")</f>
        <v xml:space="preserve">     Royalty &amp; Commissions                             </v>
      </c>
      <c r="C124" s="14"/>
      <c r="D124" s="2">
        <f>SUM(OSRRefD22_11x_0)</f>
        <v>3147.46</v>
      </c>
      <c r="E124" s="2"/>
      <c r="F124" s="6">
        <f t="shared" si="20"/>
        <v>6.2282113718948179E-3</v>
      </c>
      <c r="G124" s="2"/>
      <c r="H124" s="2">
        <f>SUM(OSRRefH22_11x_0)</f>
        <v>0</v>
      </c>
      <c r="I124" s="2"/>
      <c r="J124" s="6">
        <f t="shared" si="21"/>
        <v>0</v>
      </c>
      <c r="K124" s="2"/>
      <c r="L124" s="2">
        <f t="shared" si="22"/>
        <v>3147.46</v>
      </c>
      <c r="M124" s="2"/>
      <c r="N124" s="6">
        <f t="shared" si="23"/>
        <v>0</v>
      </c>
      <c r="O124" s="14"/>
      <c r="P124" s="2">
        <f>SUM(OSRRefP22_11x_0)</f>
        <v>42730.310000000005</v>
      </c>
      <c r="Q124" s="2"/>
      <c r="R124" s="6">
        <f t="shared" si="24"/>
        <v>1.6965906073899605E-2</v>
      </c>
      <c r="S124" s="2"/>
      <c r="T124" s="2">
        <f>SUM(OSRRefT22_11x_0)</f>
        <v>26197.58</v>
      </c>
      <c r="U124" s="2"/>
      <c r="V124" s="6">
        <f t="shared" si="25"/>
        <v>2.3247687448954633E-2</v>
      </c>
      <c r="W124" s="2"/>
      <c r="X124" s="2">
        <f t="shared" si="26"/>
        <v>16532.730000000003</v>
      </c>
      <c r="Y124" s="2"/>
      <c r="Z124" s="6">
        <f t="shared" si="27"/>
        <v>0.63107851946630189</v>
      </c>
    </row>
    <row r="125" spans="1:26" s="69" customFormat="1" ht="15" hidden="1" customHeight="1" outlineLevel="2" x14ac:dyDescent="0.3">
      <c r="A125" s="26"/>
      <c r="B125" s="12" t="str">
        <f>CONCATENATE("          ","6253"," - ","ROYALTY DUE ATHLETICS-LRG")</f>
        <v xml:space="preserve">          6253 - ROYALTY DUE ATHLETICS-LRG</v>
      </c>
      <c r="C125" s="12"/>
      <c r="D125" s="8"/>
      <c r="E125" s="3"/>
      <c r="F125" s="7">
        <f t="shared" si="20"/>
        <v>0</v>
      </c>
      <c r="G125" s="3"/>
      <c r="H125" s="8"/>
      <c r="I125" s="3"/>
      <c r="J125" s="7">
        <f t="shared" si="21"/>
        <v>0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>
        <v>39221.160000000003</v>
      </c>
      <c r="Q125" s="3"/>
      <c r="R125" s="7">
        <f t="shared" si="24"/>
        <v>1.5572611494496251E-2</v>
      </c>
      <c r="S125" s="3"/>
      <c r="T125" s="8">
        <v>26197.58</v>
      </c>
      <c r="U125" s="3"/>
      <c r="V125" s="7">
        <f t="shared" si="25"/>
        <v>2.3247687448954633E-2</v>
      </c>
      <c r="W125" s="3"/>
      <c r="X125" s="8">
        <f t="shared" si="26"/>
        <v>13023.580000000002</v>
      </c>
      <c r="Y125" s="3"/>
      <c r="Z125" s="7">
        <f t="shared" si="27"/>
        <v>0.49712912414047405</v>
      </c>
    </row>
    <row r="126" spans="1:26" s="69" customFormat="1" ht="15" hidden="1" customHeight="1" outlineLevel="2" x14ac:dyDescent="0.3">
      <c r="A126" s="26"/>
      <c r="B126" s="12" t="str">
        <f>CONCATENATE("          ","6254"," - ","ROYALTY &amp; COMMISSIONS")</f>
        <v xml:space="preserve">          6254 - ROYALTY &amp; COMMISSIONS</v>
      </c>
      <c r="C126" s="12"/>
      <c r="D126" s="8">
        <v>3147.46</v>
      </c>
      <c r="E126" s="3"/>
      <c r="F126" s="7">
        <f t="shared" si="20"/>
        <v>6.2282113718948179E-3</v>
      </c>
      <c r="G126" s="3"/>
      <c r="H126" s="8"/>
      <c r="I126" s="3"/>
      <c r="J126" s="7">
        <f t="shared" si="21"/>
        <v>0</v>
      </c>
      <c r="K126" s="3"/>
      <c r="L126" s="8">
        <f t="shared" si="22"/>
        <v>3147.46</v>
      </c>
      <c r="M126" s="3"/>
      <c r="N126" s="7">
        <f t="shared" si="23"/>
        <v>0</v>
      </c>
      <c r="O126" s="12"/>
      <c r="P126" s="8">
        <v>3509.15</v>
      </c>
      <c r="Q126" s="3"/>
      <c r="R126" s="7">
        <f t="shared" si="24"/>
        <v>1.3932945794033506E-3</v>
      </c>
      <c r="S126" s="3"/>
      <c r="T126" s="8"/>
      <c r="U126" s="3"/>
      <c r="V126" s="7">
        <f t="shared" si="25"/>
        <v>0</v>
      </c>
      <c r="W126" s="3"/>
      <c r="X126" s="8">
        <f t="shared" si="26"/>
        <v>3509.15</v>
      </c>
      <c r="Y126" s="3"/>
      <c r="Z126" s="7">
        <f t="shared" si="27"/>
        <v>0</v>
      </c>
    </row>
    <row r="127" spans="1:26" s="68" customFormat="1" ht="15" customHeight="1" outlineLevel="1" collapsed="1" x14ac:dyDescent="0.3">
      <c r="A127" s="2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SUM(OSRRefD22_12x_0)</f>
        <v>0</v>
      </c>
      <c r="E127" s="2"/>
      <c r="F127" s="6">
        <f t="shared" si="20"/>
        <v>0</v>
      </c>
      <c r="G127" s="2"/>
      <c r="H127" s="2">
        <f>SUM(OSRRefH22_12x_0)</f>
        <v>0</v>
      </c>
      <c r="I127" s="2"/>
      <c r="J127" s="6">
        <f t="shared" si="21"/>
        <v>0</v>
      </c>
      <c r="K127" s="2"/>
      <c r="L127" s="2">
        <f t="shared" si="22"/>
        <v>0</v>
      </c>
      <c r="M127" s="2"/>
      <c r="N127" s="6">
        <f t="shared" si="23"/>
        <v>0</v>
      </c>
      <c r="O127" s="14"/>
      <c r="P127" s="2">
        <f>SUM(OSRRefP22_12x_0)</f>
        <v>0</v>
      </c>
      <c r="Q127" s="2"/>
      <c r="R127" s="6">
        <f t="shared" si="24"/>
        <v>0</v>
      </c>
      <c r="S127" s="2"/>
      <c r="T127" s="2">
        <f>SUM(OSRRefT22_12x_0)</f>
        <v>-231.57</v>
      </c>
      <c r="U127" s="2"/>
      <c r="V127" s="6">
        <f t="shared" si="25"/>
        <v>-2.0549481984803269E-4</v>
      </c>
      <c r="W127" s="2"/>
      <c r="X127" s="2">
        <f t="shared" si="26"/>
        <v>231.57</v>
      </c>
      <c r="Y127" s="2"/>
      <c r="Z127" s="6">
        <f t="shared" si="27"/>
        <v>-1</v>
      </c>
    </row>
    <row r="128" spans="1:26" s="69" customFormat="1" ht="15" hidden="1" customHeight="1" outlineLevel="2" x14ac:dyDescent="0.3">
      <c r="A128" s="26"/>
      <c r="B128" s="12" t="str">
        <f>CONCATENATE("          ","6258"," - ","MEMBERSHIP DUES")</f>
        <v xml:space="preserve">          6258 - MEMBERSHIP DUES</v>
      </c>
      <c r="C128" s="12"/>
      <c r="D128" s="8"/>
      <c r="E128" s="3"/>
      <c r="F128" s="7">
        <f t="shared" si="20"/>
        <v>0</v>
      </c>
      <c r="G128" s="3"/>
      <c r="H128" s="8"/>
      <c r="I128" s="3"/>
      <c r="J128" s="7">
        <f t="shared" si="21"/>
        <v>0</v>
      </c>
      <c r="K128" s="3"/>
      <c r="L128" s="8">
        <f t="shared" si="22"/>
        <v>0</v>
      </c>
      <c r="M128" s="3"/>
      <c r="N128" s="7">
        <f t="shared" si="23"/>
        <v>0</v>
      </c>
      <c r="O128" s="12"/>
      <c r="P128" s="8"/>
      <c r="Q128" s="3"/>
      <c r="R128" s="7">
        <f t="shared" si="24"/>
        <v>0</v>
      </c>
      <c r="S128" s="3"/>
      <c r="T128" s="8">
        <v>-307.3</v>
      </c>
      <c r="U128" s="3"/>
      <c r="V128" s="7">
        <f t="shared" si="25"/>
        <v>-2.7269749164097443E-4</v>
      </c>
      <c r="W128" s="3"/>
      <c r="X128" s="8">
        <f t="shared" si="26"/>
        <v>307.3</v>
      </c>
      <c r="Y128" s="3"/>
      <c r="Z128" s="7">
        <f t="shared" si="27"/>
        <v>-1</v>
      </c>
    </row>
    <row r="129" spans="1:26" s="69" customFormat="1" ht="15" hidden="1" customHeight="1" outlineLevel="2" x14ac:dyDescent="0.3">
      <c r="A129" s="26"/>
      <c r="B129" s="12" t="str">
        <f>CONCATENATE("          ","6275"," - ","SUBSCRIPTIONS")</f>
        <v xml:space="preserve">          6275 - SUBSCRIPTIONS</v>
      </c>
      <c r="C129" s="12"/>
      <c r="D129" s="8"/>
      <c r="E129" s="3"/>
      <c r="F129" s="7">
        <f t="shared" si="20"/>
        <v>0</v>
      </c>
      <c r="G129" s="3"/>
      <c r="H129" s="8"/>
      <c r="I129" s="3"/>
      <c r="J129" s="7">
        <f t="shared" si="21"/>
        <v>0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/>
      <c r="Q129" s="3"/>
      <c r="R129" s="7">
        <f t="shared" si="24"/>
        <v>0</v>
      </c>
      <c r="S129" s="3"/>
      <c r="T129" s="8">
        <v>75.73</v>
      </c>
      <c r="U129" s="3"/>
      <c r="V129" s="7">
        <f t="shared" si="25"/>
        <v>6.7202671792941735E-5</v>
      </c>
      <c r="W129" s="3"/>
      <c r="X129" s="8">
        <f t="shared" si="26"/>
        <v>-75.73</v>
      </c>
      <c r="Y129" s="3"/>
      <c r="Z129" s="7">
        <f t="shared" si="27"/>
        <v>-1</v>
      </c>
    </row>
    <row r="130" spans="1:26" s="68" customFormat="1" ht="15" customHeight="1" outlineLevel="1" collapsed="1" x14ac:dyDescent="0.3">
      <c r="A130" s="25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SUM(OSRRefD22_13x_0)</f>
        <v>473.25</v>
      </c>
      <c r="E130" s="2"/>
      <c r="F130" s="6">
        <f t="shared" si="20"/>
        <v>9.3646973488121306E-4</v>
      </c>
      <c r="G130" s="2"/>
      <c r="H130" s="2">
        <f>SUM(OSRRefH22_13x_0)</f>
        <v>65.67</v>
      </c>
      <c r="I130" s="2"/>
      <c r="J130" s="6">
        <f t="shared" si="21"/>
        <v>6.5836573113634814E-4</v>
      </c>
      <c r="K130" s="2"/>
      <c r="L130" s="2">
        <f t="shared" si="22"/>
        <v>407.58</v>
      </c>
      <c r="M130" s="2"/>
      <c r="N130" s="6">
        <f t="shared" si="23"/>
        <v>6.2064869803563267</v>
      </c>
      <c r="O130" s="14"/>
      <c r="P130" s="2">
        <f>SUM(OSRRefP22_13x_0)</f>
        <v>8160.2199999999993</v>
      </c>
      <c r="Q130" s="2"/>
      <c r="R130" s="6">
        <f t="shared" si="24"/>
        <v>3.2399841251410763E-3</v>
      </c>
      <c r="S130" s="2"/>
      <c r="T130" s="2">
        <f>SUM(OSRRefT22_13x_0)</f>
        <v>3363.61</v>
      </c>
      <c r="U130" s="2"/>
      <c r="V130" s="6">
        <f t="shared" si="25"/>
        <v>2.9848617307468208E-3</v>
      </c>
      <c r="W130" s="2"/>
      <c r="X130" s="2">
        <f t="shared" si="26"/>
        <v>4796.6099999999988</v>
      </c>
      <c r="Y130" s="2"/>
      <c r="Z130" s="6">
        <f t="shared" si="27"/>
        <v>1.4260303661839508</v>
      </c>
    </row>
    <row r="131" spans="1:26" s="69" customFormat="1" ht="15" hidden="1" customHeight="1" outlineLevel="2" x14ac:dyDescent="0.3">
      <c r="A131" s="26"/>
      <c r="B131" s="12" t="str">
        <f>CONCATENATE("          ","6234"," - ","EXPENDABLE SUPPLIES &amp; EQUIPMEN")</f>
        <v xml:space="preserve">          6234 - EXPENDABLE SUPPLIES &amp; EQUIPMEN</v>
      </c>
      <c r="C131" s="12"/>
      <c r="D131" s="8"/>
      <c r="E131" s="3"/>
      <c r="F131" s="7">
        <f t="shared" si="20"/>
        <v>0</v>
      </c>
      <c r="G131" s="3"/>
      <c r="H131" s="8"/>
      <c r="I131" s="3"/>
      <c r="J131" s="7">
        <f t="shared" si="21"/>
        <v>0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/>
      <c r="Q131" s="3"/>
      <c r="R131" s="7">
        <f t="shared" si="24"/>
        <v>0</v>
      </c>
      <c r="S131" s="3"/>
      <c r="T131" s="8">
        <v>396.5</v>
      </c>
      <c r="U131" s="3"/>
      <c r="V131" s="7">
        <f t="shared" si="25"/>
        <v>3.5185341827415019E-4</v>
      </c>
      <c r="W131" s="3"/>
      <c r="X131" s="8">
        <f t="shared" si="26"/>
        <v>-396.5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6"/>
      <c r="B132" s="12" t="str">
        <f>CONCATENATE("          ","6235"," - ","COVID-19 EXPENSES")</f>
        <v xml:space="preserve">          6235 - COVID-19 EXPENSES</v>
      </c>
      <c r="C132" s="12"/>
      <c r="D132" s="8"/>
      <c r="E132" s="3"/>
      <c r="F132" s="7">
        <f t="shared" si="20"/>
        <v>0</v>
      </c>
      <c r="G132" s="3"/>
      <c r="H132" s="8"/>
      <c r="I132" s="3"/>
      <c r="J132" s="7">
        <f t="shared" si="21"/>
        <v>0</v>
      </c>
      <c r="K132" s="3"/>
      <c r="L132" s="8">
        <f t="shared" si="22"/>
        <v>0</v>
      </c>
      <c r="M132" s="3"/>
      <c r="N132" s="7">
        <f t="shared" si="23"/>
        <v>0</v>
      </c>
      <c r="O132" s="12"/>
      <c r="P132" s="8"/>
      <c r="Q132" s="3"/>
      <c r="R132" s="7">
        <f t="shared" si="24"/>
        <v>0</v>
      </c>
      <c r="S132" s="3"/>
      <c r="T132" s="8">
        <v>1026.43</v>
      </c>
      <c r="U132" s="3"/>
      <c r="V132" s="7">
        <f t="shared" si="25"/>
        <v>9.1085221719832538E-4</v>
      </c>
      <c r="W132" s="3"/>
      <c r="X132" s="8">
        <f t="shared" si="26"/>
        <v>-1026.43</v>
      </c>
      <c r="Y132" s="3"/>
      <c r="Z132" s="7">
        <f t="shared" si="27"/>
        <v>-1</v>
      </c>
    </row>
    <row r="133" spans="1:26" s="69" customFormat="1" ht="15" hidden="1" customHeight="1" outlineLevel="2" x14ac:dyDescent="0.3">
      <c r="A133" s="26"/>
      <c r="B133" s="12" t="str">
        <f>CONCATENATE("          ","6241"," - ","OFFICE EXPENSE")</f>
        <v xml:space="preserve">          6241 - OFFICE EXPENSE</v>
      </c>
      <c r="C133" s="12"/>
      <c r="D133" s="8">
        <v>473.25</v>
      </c>
      <c r="E133" s="3"/>
      <c r="F133" s="7">
        <f t="shared" si="20"/>
        <v>9.3646973488121306E-4</v>
      </c>
      <c r="G133" s="3"/>
      <c r="H133" s="8">
        <v>22.01</v>
      </c>
      <c r="I133" s="3"/>
      <c r="J133" s="7">
        <f t="shared" si="21"/>
        <v>2.2065828753328802E-4</v>
      </c>
      <c r="K133" s="3"/>
      <c r="L133" s="8">
        <f t="shared" si="22"/>
        <v>451.24</v>
      </c>
      <c r="M133" s="3"/>
      <c r="N133" s="7">
        <f t="shared" si="23"/>
        <v>20.501590186278964</v>
      </c>
      <c r="O133" s="12"/>
      <c r="P133" s="8">
        <v>1663.31</v>
      </c>
      <c r="Q133" s="3"/>
      <c r="R133" s="7">
        <f t="shared" si="24"/>
        <v>6.6041087068588889E-4</v>
      </c>
      <c r="S133" s="3"/>
      <c r="T133" s="8">
        <v>830.45</v>
      </c>
      <c r="U133" s="3"/>
      <c r="V133" s="7">
        <f t="shared" si="25"/>
        <v>7.3693990215830535E-4</v>
      </c>
      <c r="W133" s="3"/>
      <c r="X133" s="8">
        <f t="shared" si="26"/>
        <v>832.8599999999999</v>
      </c>
      <c r="Y133" s="3"/>
      <c r="Z133" s="7">
        <f t="shared" si="27"/>
        <v>1.0029020410620746</v>
      </c>
    </row>
    <row r="134" spans="1:26" s="69" customFormat="1" ht="15" hidden="1" customHeight="1" outlineLevel="2" x14ac:dyDescent="0.3">
      <c r="A134" s="26"/>
      <c r="B134" s="12" t="str">
        <f>CONCATENATE("          ","6245"," - ","PRINTING")</f>
        <v xml:space="preserve">          6245 - PRINTING</v>
      </c>
      <c r="C134" s="12"/>
      <c r="D134" s="8"/>
      <c r="E134" s="3"/>
      <c r="F134" s="7">
        <f t="shared" si="20"/>
        <v>0</v>
      </c>
      <c r="G134" s="3"/>
      <c r="H134" s="8"/>
      <c r="I134" s="3"/>
      <c r="J134" s="7">
        <f t="shared" si="21"/>
        <v>0</v>
      </c>
      <c r="K134" s="3"/>
      <c r="L134" s="8">
        <f t="shared" si="22"/>
        <v>0</v>
      </c>
      <c r="M134" s="3"/>
      <c r="N134" s="7">
        <f t="shared" si="23"/>
        <v>0</v>
      </c>
      <c r="O134" s="12"/>
      <c r="P134" s="8">
        <v>24.75</v>
      </c>
      <c r="Q134" s="3"/>
      <c r="R134" s="7">
        <f t="shared" si="24"/>
        <v>9.8268927917680714E-6</v>
      </c>
      <c r="S134" s="3"/>
      <c r="T134" s="8"/>
      <c r="U134" s="3"/>
      <c r="V134" s="7">
        <f t="shared" si="25"/>
        <v>0</v>
      </c>
      <c r="W134" s="3"/>
      <c r="X134" s="8">
        <f t="shared" si="26"/>
        <v>24.75</v>
      </c>
      <c r="Y134" s="3"/>
      <c r="Z134" s="7">
        <f t="shared" si="27"/>
        <v>0</v>
      </c>
    </row>
    <row r="135" spans="1:26" s="69" customFormat="1" ht="15" hidden="1" customHeight="1" outlineLevel="2" x14ac:dyDescent="0.3">
      <c r="A135" s="26"/>
      <c r="B135" s="12" t="str">
        <f>CONCATENATE("          ","6247"," - ","STORE SUPPLIES")</f>
        <v xml:space="preserve">          6247 - STORE SUPPLIES</v>
      </c>
      <c r="C135" s="12"/>
      <c r="D135" s="8"/>
      <c r="E135" s="3"/>
      <c r="F135" s="7">
        <f t="shared" si="20"/>
        <v>0</v>
      </c>
      <c r="G135" s="3"/>
      <c r="H135" s="8">
        <v>43.66</v>
      </c>
      <c r="I135" s="3"/>
      <c r="J135" s="7">
        <f t="shared" si="21"/>
        <v>4.3770744360306012E-4</v>
      </c>
      <c r="K135" s="3"/>
      <c r="L135" s="8">
        <f t="shared" si="22"/>
        <v>-43.66</v>
      </c>
      <c r="M135" s="3"/>
      <c r="N135" s="7">
        <f t="shared" si="23"/>
        <v>-1</v>
      </c>
      <c r="O135" s="12"/>
      <c r="P135" s="8">
        <v>6472.16</v>
      </c>
      <c r="Q135" s="3"/>
      <c r="R135" s="7">
        <f t="shared" si="24"/>
        <v>2.5697463616634196E-3</v>
      </c>
      <c r="S135" s="3"/>
      <c r="T135" s="8">
        <v>1110.23</v>
      </c>
      <c r="U135" s="3"/>
      <c r="V135" s="7">
        <f t="shared" si="25"/>
        <v>9.8521619311603978E-4</v>
      </c>
      <c r="W135" s="3"/>
      <c r="X135" s="8">
        <f t="shared" si="26"/>
        <v>5361.93</v>
      </c>
      <c r="Y135" s="3"/>
      <c r="Z135" s="7">
        <f t="shared" si="27"/>
        <v>4.829566846509282</v>
      </c>
    </row>
    <row r="136" spans="1:26" s="68" customFormat="1" ht="15" customHeight="1" outlineLevel="1" collapsed="1" x14ac:dyDescent="0.3">
      <c r="A136" s="25"/>
      <c r="B136" s="14" t="str">
        <f>CONCATENATE("     ","Telephone/Data Lines                              ")</f>
        <v xml:space="preserve">     Telephone/Data Lines                              </v>
      </c>
      <c r="C136" s="14"/>
      <c r="D136" s="2">
        <f>SUM(OSRRefD22_14x_0)</f>
        <v>235.95</v>
      </c>
      <c r="E136" s="2"/>
      <c r="F136" s="6">
        <f t="shared" si="20"/>
        <v>4.6689917368245579E-4</v>
      </c>
      <c r="G136" s="2"/>
      <c r="H136" s="2">
        <f>SUM(OSRRefH22_14x_0)</f>
        <v>103.6</v>
      </c>
      <c r="I136" s="2"/>
      <c r="J136" s="6">
        <f t="shared" si="21"/>
        <v>1.0386278322784478E-3</v>
      </c>
      <c r="K136" s="2"/>
      <c r="L136" s="2">
        <f t="shared" si="22"/>
        <v>132.35</v>
      </c>
      <c r="M136" s="2"/>
      <c r="N136" s="6">
        <f t="shared" si="23"/>
        <v>1.2775096525096525</v>
      </c>
      <c r="O136" s="14"/>
      <c r="P136" s="2">
        <f>SUM(OSRRefP22_14x_0)</f>
        <v>1651.85</v>
      </c>
      <c r="Q136" s="2"/>
      <c r="R136" s="6">
        <f t="shared" si="24"/>
        <v>6.5586072153867015E-4</v>
      </c>
      <c r="S136" s="2"/>
      <c r="T136" s="2">
        <f>SUM(OSRRefT22_14x_0)</f>
        <v>2774.19</v>
      </c>
      <c r="U136" s="2"/>
      <c r="V136" s="6">
        <f t="shared" si="25"/>
        <v>2.4618114361714119E-3</v>
      </c>
      <c r="W136" s="2"/>
      <c r="X136" s="2">
        <f t="shared" si="26"/>
        <v>-1122.3400000000001</v>
      </c>
      <c r="Y136" s="2"/>
      <c r="Z136" s="6">
        <f t="shared" si="27"/>
        <v>-0.4045649360714299</v>
      </c>
    </row>
    <row r="137" spans="1:26" s="69" customFormat="1" ht="15" hidden="1" customHeight="1" outlineLevel="2" x14ac:dyDescent="0.3">
      <c r="A137" s="26"/>
      <c r="B137" s="12" t="str">
        <f>CONCATENATE("          ","6309"," - ","TELEPHONE")</f>
        <v xml:space="preserve">          6309 - TELEPHONE</v>
      </c>
      <c r="C137" s="12"/>
      <c r="D137" s="8">
        <v>235.95</v>
      </c>
      <c r="E137" s="3"/>
      <c r="F137" s="7">
        <f t="shared" si="20"/>
        <v>4.6689917368245579E-4</v>
      </c>
      <c r="G137" s="3"/>
      <c r="H137" s="8">
        <v>103.6</v>
      </c>
      <c r="I137" s="3"/>
      <c r="J137" s="7">
        <f t="shared" si="21"/>
        <v>1.0386278322784478E-3</v>
      </c>
      <c r="K137" s="3"/>
      <c r="L137" s="8">
        <f t="shared" si="22"/>
        <v>132.35</v>
      </c>
      <c r="M137" s="3"/>
      <c r="N137" s="7">
        <f t="shared" si="23"/>
        <v>1.2775096525096525</v>
      </c>
      <c r="O137" s="12"/>
      <c r="P137" s="8">
        <v>1651.85</v>
      </c>
      <c r="Q137" s="3"/>
      <c r="R137" s="7">
        <f t="shared" si="24"/>
        <v>6.5586072153867015E-4</v>
      </c>
      <c r="S137" s="3"/>
      <c r="T137" s="8">
        <v>2774.19</v>
      </c>
      <c r="U137" s="3"/>
      <c r="V137" s="7">
        <f t="shared" si="25"/>
        <v>2.4618114361714119E-3</v>
      </c>
      <c r="W137" s="3"/>
      <c r="X137" s="8">
        <f t="shared" si="26"/>
        <v>-1122.3400000000001</v>
      </c>
      <c r="Y137" s="3"/>
      <c r="Z137" s="7">
        <f t="shared" si="27"/>
        <v>-0.4045649360714299</v>
      </c>
    </row>
    <row r="138" spans="1:26" s="68" customFormat="1" ht="15" customHeight="1" outlineLevel="1" collapsed="1" x14ac:dyDescent="0.3">
      <c r="A138" s="25"/>
      <c r="B138" s="14" t="str">
        <f>CONCATENATE("     ","Training                                          ")</f>
        <v xml:space="preserve">     Training                                          </v>
      </c>
      <c r="C138" s="14"/>
      <c r="D138" s="2">
        <f>SUM(OSRRefD22_15x_0)</f>
        <v>300</v>
      </c>
      <c r="E138" s="2"/>
      <c r="F138" s="6">
        <f t="shared" si="20"/>
        <v>5.9364167028920002E-4</v>
      </c>
      <c r="G138" s="2"/>
      <c r="H138" s="2">
        <f>SUM(OSRRefH22_15x_0)</f>
        <v>0</v>
      </c>
      <c r="I138" s="2"/>
      <c r="J138" s="6">
        <f t="shared" si="21"/>
        <v>0</v>
      </c>
      <c r="K138" s="2"/>
      <c r="L138" s="2">
        <f t="shared" si="22"/>
        <v>300</v>
      </c>
      <c r="M138" s="2"/>
      <c r="N138" s="6">
        <f t="shared" si="23"/>
        <v>0</v>
      </c>
      <c r="O138" s="14"/>
      <c r="P138" s="2">
        <f>SUM(OSRRefP22_15x_0)</f>
        <v>300</v>
      </c>
      <c r="Q138" s="2"/>
      <c r="R138" s="6">
        <f t="shared" si="24"/>
        <v>1.1911385202143116E-4</v>
      </c>
      <c r="S138" s="2"/>
      <c r="T138" s="2">
        <f>SUM(OSRRefT22_15x_0)</f>
        <v>0</v>
      </c>
      <c r="U138" s="2"/>
      <c r="V138" s="6">
        <f t="shared" si="25"/>
        <v>0</v>
      </c>
      <c r="W138" s="2"/>
      <c r="X138" s="2">
        <f t="shared" si="26"/>
        <v>300</v>
      </c>
      <c r="Y138" s="2"/>
      <c r="Z138" s="6">
        <f t="shared" si="27"/>
        <v>0</v>
      </c>
    </row>
    <row r="139" spans="1:26" s="69" customFormat="1" ht="15" hidden="1" customHeight="1" outlineLevel="2" x14ac:dyDescent="0.3">
      <c r="A139" s="26"/>
      <c r="B139" s="12" t="str">
        <f>CONCATENATE("          ","6376"," - ","TRAINING")</f>
        <v xml:space="preserve">          6376 - TRAINING</v>
      </c>
      <c r="C139" s="12"/>
      <c r="D139" s="8">
        <v>300</v>
      </c>
      <c r="E139" s="3"/>
      <c r="F139" s="7">
        <f t="shared" si="20"/>
        <v>5.9364167028920002E-4</v>
      </c>
      <c r="G139" s="3"/>
      <c r="H139" s="8"/>
      <c r="I139" s="3"/>
      <c r="J139" s="7">
        <f t="shared" si="21"/>
        <v>0</v>
      </c>
      <c r="K139" s="3"/>
      <c r="L139" s="8">
        <f t="shared" si="22"/>
        <v>300</v>
      </c>
      <c r="M139" s="3"/>
      <c r="N139" s="7">
        <f t="shared" si="23"/>
        <v>0</v>
      </c>
      <c r="O139" s="12"/>
      <c r="P139" s="8">
        <v>300</v>
      </c>
      <c r="Q139" s="3"/>
      <c r="R139" s="7">
        <f t="shared" si="24"/>
        <v>1.1911385202143116E-4</v>
      </c>
      <c r="S139" s="3"/>
      <c r="T139" s="8"/>
      <c r="U139" s="3"/>
      <c r="V139" s="7">
        <f t="shared" si="25"/>
        <v>0</v>
      </c>
      <c r="W139" s="3"/>
      <c r="X139" s="8">
        <f t="shared" si="26"/>
        <v>300</v>
      </c>
      <c r="Y139" s="3"/>
      <c r="Z139" s="7">
        <f t="shared" si="27"/>
        <v>0</v>
      </c>
    </row>
    <row r="140" spans="1:26" s="68" customFormat="1" ht="15" customHeight="1" outlineLevel="1" collapsed="1" x14ac:dyDescent="0.3">
      <c r="A140" s="25"/>
      <c r="B140" s="14" t="str">
        <f>CONCATENATE("     ","Travel                                            ")</f>
        <v xml:space="preserve">     Travel                                            </v>
      </c>
      <c r="C140" s="14"/>
      <c r="D140" s="2">
        <f>SUM(OSRRefD22_16x_0)</f>
        <v>0</v>
      </c>
      <c r="E140" s="2"/>
      <c r="F140" s="6">
        <f t="shared" si="20"/>
        <v>0</v>
      </c>
      <c r="G140" s="2"/>
      <c r="H140" s="2">
        <f>SUM(OSRRefH22_16x_0)</f>
        <v>0</v>
      </c>
      <c r="I140" s="2"/>
      <c r="J140" s="6">
        <f t="shared" si="21"/>
        <v>0</v>
      </c>
      <c r="K140" s="2"/>
      <c r="L140" s="2">
        <f t="shared" si="22"/>
        <v>0</v>
      </c>
      <c r="M140" s="2"/>
      <c r="N140" s="6">
        <f t="shared" si="23"/>
        <v>0</v>
      </c>
      <c r="O140" s="14"/>
      <c r="P140" s="2">
        <f>SUM(OSRRefP22_16x_0)</f>
        <v>40.32</v>
      </c>
      <c r="Q140" s="2"/>
      <c r="R140" s="6">
        <f t="shared" si="24"/>
        <v>1.600890171168035E-5</v>
      </c>
      <c r="S140" s="2"/>
      <c r="T140" s="2">
        <f>SUM(OSRRefT22_16x_0)</f>
        <v>69.92</v>
      </c>
      <c r="U140" s="2"/>
      <c r="V140" s="6">
        <f t="shared" si="25"/>
        <v>6.2046887782417616E-5</v>
      </c>
      <c r="W140" s="2"/>
      <c r="X140" s="2">
        <f t="shared" si="26"/>
        <v>-29.6</v>
      </c>
      <c r="Y140" s="2"/>
      <c r="Z140" s="6">
        <f t="shared" si="27"/>
        <v>-0.42334096109839819</v>
      </c>
    </row>
    <row r="141" spans="1:26" s="69" customFormat="1" ht="15" hidden="1" customHeight="1" outlineLevel="2" x14ac:dyDescent="0.3">
      <c r="A141" s="26"/>
      <c r="B141" s="12" t="str">
        <f>CONCATENATE("          ","6294"," - ","TRAVEL OPERATIONAL")</f>
        <v xml:space="preserve">          6294 - TRAVEL OPERATIONAL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>
        <v>40.32</v>
      </c>
      <c r="Q141" s="3"/>
      <c r="R141" s="7">
        <f t="shared" si="24"/>
        <v>1.600890171168035E-5</v>
      </c>
      <c r="S141" s="3"/>
      <c r="T141" s="8">
        <v>69.92</v>
      </c>
      <c r="U141" s="3"/>
      <c r="V141" s="7">
        <f t="shared" si="25"/>
        <v>6.2046887782417616E-5</v>
      </c>
      <c r="W141" s="3"/>
      <c r="X141" s="8">
        <f t="shared" si="26"/>
        <v>-29.6</v>
      </c>
      <c r="Y141" s="3"/>
      <c r="Z141" s="7">
        <f t="shared" si="27"/>
        <v>-0.42334096109839819</v>
      </c>
    </row>
    <row r="142" spans="1:26" s="64" customFormat="1" ht="15" customHeight="1" x14ac:dyDescent="0.3">
      <c r="A142" s="36"/>
      <c r="B142" s="36"/>
      <c r="C142" s="36"/>
      <c r="D142" s="2"/>
      <c r="E142" s="2"/>
      <c r="F142" s="6"/>
      <c r="G142" s="2"/>
      <c r="H142" s="2"/>
      <c r="I142" s="2"/>
      <c r="J142" s="6"/>
      <c r="K142" s="2"/>
      <c r="L142" s="2"/>
      <c r="M142" s="2"/>
      <c r="N142" s="6"/>
      <c r="O142" s="36"/>
      <c r="P142" s="2"/>
      <c r="Q142" s="2"/>
      <c r="R142" s="6"/>
      <c r="S142" s="2"/>
      <c r="T142" s="2"/>
      <c r="U142" s="2"/>
      <c r="V142" s="6"/>
      <c r="W142" s="2"/>
      <c r="X142" s="2"/>
      <c r="Y142" s="2"/>
      <c r="Z142" s="6"/>
    </row>
    <row r="143" spans="1:26" s="62" customFormat="1" ht="15" customHeight="1" collapsed="1" x14ac:dyDescent="0.3">
      <c r="A143" s="11"/>
      <c r="B143" s="27" t="s">
        <v>290</v>
      </c>
      <c r="C143" s="11"/>
      <c r="D143" s="5">
        <f>SUM(OSRRefD25x_0)</f>
        <v>145</v>
      </c>
      <c r="E143" s="5"/>
      <c r="F143" s="13">
        <f>IF(D$12=0,0,D143/D$12)</f>
        <v>2.8692680730644669E-4</v>
      </c>
      <c r="G143" s="5"/>
      <c r="H143" s="5">
        <f>SUM(OSRRefH25x_0)</f>
        <v>-3986.08</v>
      </c>
      <c r="I143" s="5"/>
      <c r="J143" s="13">
        <f>IF(H$12=0,0,H143/H$12)</f>
        <v>-3.9961907622475631E-2</v>
      </c>
      <c r="K143" s="5"/>
      <c r="L143" s="5">
        <f>+D143-H143</f>
        <v>4131.08</v>
      </c>
      <c r="M143" s="5"/>
      <c r="N143" s="13">
        <f>IF(H143=0,0,L143/H143)</f>
        <v>-1.0363765905350619</v>
      </c>
      <c r="O143" s="11"/>
      <c r="P143" s="5">
        <f>SUM(OSRRefP25x_0)</f>
        <v>158647.37</v>
      </c>
      <c r="Q143" s="5"/>
      <c r="R143" s="13">
        <f>IF(P$12=0,0,P143/P$12)</f>
        <v>6.2990331179230794E-2</v>
      </c>
      <c r="S143" s="5"/>
      <c r="T143" s="5">
        <f>SUM(OSRRefT25x_0)</f>
        <v>217793.07</v>
      </c>
      <c r="U143" s="5"/>
      <c r="V143" s="13">
        <f>IF(T$12=0,0,T143/T$12)</f>
        <v>0.19326919585352151</v>
      </c>
      <c r="W143" s="5"/>
      <c r="X143" s="5">
        <f>+P143-T143</f>
        <v>-59145.700000000012</v>
      </c>
      <c r="Y143" s="5"/>
      <c r="Z143" s="13">
        <f>IF(T143=0,0,X143/T143)</f>
        <v>-0.27156832859741592</v>
      </c>
    </row>
    <row r="144" spans="1:26" s="69" customFormat="1" ht="15" hidden="1" customHeight="1" outlineLevel="1" x14ac:dyDescent="0.3">
      <c r="A144" s="42"/>
      <c r="B144" s="12" t="str">
        <f>CONCATENATE("          ","9150"," - ","MISC. INCOME")</f>
        <v xml:space="preserve">          9150 - MISC. INCOME</v>
      </c>
      <c r="C144" s="12"/>
      <c r="D144" s="3">
        <f>--145</f>
        <v>145</v>
      </c>
      <c r="E144" s="3"/>
      <c r="F144" s="20">
        <f>IF(D$12=0,0,D144/D$12)</f>
        <v>2.8692680730644669E-4</v>
      </c>
      <c r="G144" s="3"/>
      <c r="H144" s="3">
        <f>0</f>
        <v>0</v>
      </c>
      <c r="I144" s="3"/>
      <c r="J144" s="20">
        <f>IF(H$12=0,0,H144/H$12)</f>
        <v>0</v>
      </c>
      <c r="K144" s="3"/>
      <c r="L144" s="3">
        <f>+D144-H144</f>
        <v>145</v>
      </c>
      <c r="M144" s="3"/>
      <c r="N144" s="20">
        <f>IF(H144=0,0,L144/H144)</f>
        <v>0</v>
      </c>
      <c r="O144" s="12"/>
      <c r="P144" s="3">
        <f>--78871.67</f>
        <v>78871.67</v>
      </c>
      <c r="Q144" s="3"/>
      <c r="R144" s="20">
        <f>IF(P$12=0,0,P144/P$12)</f>
        <v>3.1315694763543837E-2</v>
      </c>
      <c r="S144" s="3"/>
      <c r="T144" s="3">
        <f>--46373.31</f>
        <v>46373.31</v>
      </c>
      <c r="U144" s="3"/>
      <c r="V144" s="20">
        <f>IF(T$12=0,0,T144/T$12)</f>
        <v>4.1151595561631352E-2</v>
      </c>
      <c r="W144" s="3"/>
      <c r="X144" s="3">
        <f>+P144-T144</f>
        <v>32498.36</v>
      </c>
      <c r="Y144" s="3"/>
      <c r="Z144" s="20">
        <f>IF(T144=0,0,X144/T144)</f>
        <v>0.7007987999993962</v>
      </c>
    </row>
    <row r="145" spans="1:26" s="69" customFormat="1" ht="15" hidden="1" customHeight="1" outlineLevel="1" x14ac:dyDescent="0.3">
      <c r="A145" s="42"/>
      <c r="B145" s="12" t="str">
        <f>CONCATENATE("          ","9163"," - ","MISC. INCOME")</f>
        <v xml:space="preserve">          9163 - MISC. INCOME</v>
      </c>
      <c r="C145" s="12"/>
      <c r="D145" s="3">
        <f>0</f>
        <v>0</v>
      </c>
      <c r="E145" s="3"/>
      <c r="F145" s="20">
        <f>IF(D$12=0,0,D145/D$12)</f>
        <v>0</v>
      </c>
      <c r="G145" s="3"/>
      <c r="H145" s="3">
        <f>-3986.08</f>
        <v>-3986.08</v>
      </c>
      <c r="I145" s="3"/>
      <c r="J145" s="20">
        <f>IF(H$12=0,0,H145/H$12)</f>
        <v>-3.9961907622475631E-2</v>
      </c>
      <c r="K145" s="3"/>
      <c r="L145" s="3">
        <f>+D145-H145</f>
        <v>3986.08</v>
      </c>
      <c r="M145" s="3"/>
      <c r="N145" s="20">
        <f>IF(H145=0,0,L145/H145)</f>
        <v>-1</v>
      </c>
      <c r="O145" s="12"/>
      <c r="P145" s="3">
        <f>--79775.7</f>
        <v>79775.7</v>
      </c>
      <c r="Q145" s="3"/>
      <c r="R145" s="20">
        <f>IF(P$12=0,0,P145/P$12)</f>
        <v>3.1674636415686956E-2</v>
      </c>
      <c r="S145" s="3"/>
      <c r="T145" s="3">
        <f>--171419.76</f>
        <v>171419.76</v>
      </c>
      <c r="U145" s="3"/>
      <c r="V145" s="20">
        <f>IF(T$12=0,0,T145/T$12)</f>
        <v>0.15211760029189014</v>
      </c>
      <c r="W145" s="3"/>
      <c r="X145" s="3">
        <f>+P145-T145</f>
        <v>-91644.060000000012</v>
      </c>
      <c r="Y145" s="3"/>
      <c r="Z145" s="20">
        <f>IF(T145=0,0,X145/T145)</f>
        <v>-0.53461782935642899</v>
      </c>
    </row>
    <row r="146" spans="1:26" ht="15" customHeight="1" x14ac:dyDescent="0.3">
      <c r="A146" s="10"/>
      <c r="B146" s="11"/>
      <c r="C146" s="11"/>
      <c r="D146" s="4"/>
      <c r="E146" s="4"/>
      <c r="F146" s="9"/>
      <c r="G146" s="4"/>
      <c r="H146" s="4"/>
      <c r="I146" s="4"/>
      <c r="J146" s="9"/>
      <c r="K146" s="4"/>
      <c r="L146" s="4"/>
      <c r="M146" s="4"/>
      <c r="N146" s="9"/>
      <c r="O146" s="11"/>
      <c r="P146" s="4"/>
      <c r="Q146" s="4"/>
      <c r="R146" s="9"/>
      <c r="S146" s="4"/>
      <c r="T146" s="4"/>
      <c r="U146" s="4"/>
      <c r="V146" s="9"/>
      <c r="W146" s="4"/>
      <c r="X146" s="4"/>
      <c r="Y146" s="4"/>
      <c r="Z146" s="9"/>
    </row>
    <row r="147" spans="1:26" s="62" customFormat="1" ht="15" customHeight="1" x14ac:dyDescent="0.3">
      <c r="A147" s="11"/>
      <c r="B147" s="28" t="s">
        <v>291</v>
      </c>
      <c r="C147" s="28"/>
      <c r="D147" s="23">
        <f>+D83-D85+D143</f>
        <v>183113.57000000007</v>
      </c>
      <c r="E147" s="15"/>
      <c r="F147" s="22">
        <f>IF(D$12=0,0,D147/D$12)</f>
        <v>0.36234615182472796</v>
      </c>
      <c r="G147" s="15"/>
      <c r="H147" s="23">
        <f>+H83-H85+H143</f>
        <v>2637.8099999999922</v>
      </c>
      <c r="I147" s="15"/>
      <c r="J147" s="22">
        <f>IF(H$12=0,0,H147/H$12)</f>
        <v>2.6445008516046375E-2</v>
      </c>
      <c r="K147" s="17"/>
      <c r="L147" s="23">
        <f>+D147-H147</f>
        <v>180475.76000000007</v>
      </c>
      <c r="M147" s="17"/>
      <c r="N147" s="22">
        <f>IF(H147=0,0,L147/H147)</f>
        <v>68.418786796623181</v>
      </c>
      <c r="O147" s="27"/>
      <c r="P147" s="23">
        <f>+P83-P85+P143</f>
        <v>800887.92999999947</v>
      </c>
      <c r="Q147" s="15"/>
      <c r="R147" s="22">
        <f>IF(P$12=0,0,P147/P$12)</f>
        <v>0.31798948793256754</v>
      </c>
      <c r="S147" s="15"/>
      <c r="T147" s="23">
        <f>+T83-T85+T143</f>
        <v>309610.56999999977</v>
      </c>
      <c r="U147" s="15"/>
      <c r="V147" s="22">
        <f>IF(T$12=0,0,T147/T$12)</f>
        <v>0.27474788748627488</v>
      </c>
      <c r="W147" s="17"/>
      <c r="X147" s="23">
        <f>+P147-T147</f>
        <v>491277.35999999969</v>
      </c>
      <c r="Y147" s="17"/>
      <c r="Z147" s="22">
        <f>IF(T147=0,0,X147/T147)</f>
        <v>1.5867590050300933</v>
      </c>
    </row>
    <row r="148" spans="1:26" ht="15" customHeight="1" x14ac:dyDescent="0.3">
      <c r="A148" s="10"/>
      <c r="B148" s="11"/>
      <c r="C148" s="10"/>
      <c r="D148" s="4"/>
      <c r="E148" s="4"/>
      <c r="F148" s="9"/>
      <c r="G148" s="4"/>
      <c r="H148" s="4"/>
      <c r="I148" s="4"/>
      <c r="J148" s="9"/>
      <c r="K148" s="4"/>
      <c r="L148" s="4"/>
      <c r="M148" s="4"/>
      <c r="N148" s="9"/>
      <c r="P148" s="4"/>
      <c r="Q148" s="4"/>
      <c r="R148" s="9"/>
      <c r="S148" s="4"/>
      <c r="T148" s="4"/>
      <c r="U148" s="4"/>
      <c r="V148" s="9"/>
      <c r="W148" s="4"/>
      <c r="X148" s="4"/>
      <c r="Y148" s="4"/>
      <c r="Z148" s="9"/>
    </row>
    <row r="149" spans="1:26" s="62" customFormat="1" ht="15" customHeight="1" x14ac:dyDescent="0.3">
      <c r="A149" s="48"/>
      <c r="B149" s="11" t="s">
        <v>292</v>
      </c>
      <c r="C149" s="11"/>
      <c r="D149" s="5">
        <v>47890.54</v>
      </c>
      <c r="E149" s="5"/>
      <c r="F149" s="13">
        <f>IF(D$12=0,0,D149/D$12)</f>
        <v>9.4766067188839148E-2</v>
      </c>
      <c r="G149" s="5"/>
      <c r="H149" s="5">
        <v>36710.89</v>
      </c>
      <c r="I149" s="5"/>
      <c r="J149" s="13">
        <f>IF(H$12=0,0,H149/H$12)</f>
        <v>0.36804007820185858</v>
      </c>
      <c r="K149" s="5"/>
      <c r="L149" s="5">
        <f>+D149-H149</f>
        <v>11179.650000000001</v>
      </c>
      <c r="M149" s="5"/>
      <c r="N149" s="13">
        <f>IF(H149=0,0,L149/H149)</f>
        <v>0.30453225187403526</v>
      </c>
      <c r="O149" s="11"/>
      <c r="P149" s="5">
        <v>314378.31</v>
      </c>
      <c r="Q149" s="5"/>
      <c r="R149" s="13">
        <f>IF(P$12=0,0,P149/P$12)</f>
        <v>0.12482270498695872</v>
      </c>
      <c r="S149" s="5"/>
      <c r="T149" s="5">
        <v>223164.47</v>
      </c>
      <c r="U149" s="5"/>
      <c r="V149" s="13">
        <f>IF(T$12=0,0,T149/T$12)</f>
        <v>0.19803576697815647</v>
      </c>
      <c r="W149" s="5"/>
      <c r="X149" s="5">
        <f>+P149-T149</f>
        <v>91213.84</v>
      </c>
      <c r="Y149" s="5"/>
      <c r="Z149" s="13">
        <f>IF(T149=0,0,X149/T149)</f>
        <v>0.40872922109868115</v>
      </c>
    </row>
    <row r="150" spans="1:26" ht="15" customHeight="1" x14ac:dyDescent="0.3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2" customFormat="1" ht="15" customHeight="1" x14ac:dyDescent="0.3">
      <c r="A151" s="11"/>
      <c r="B151" s="28" t="s">
        <v>293</v>
      </c>
      <c r="C151" s="28"/>
      <c r="D151" s="33">
        <f>+D147-D149</f>
        <v>135223.03000000006</v>
      </c>
      <c r="E151" s="15"/>
      <c r="F151" s="34">
        <f>IF(D$12=0,0,D151/D$12)</f>
        <v>0.26758008463588878</v>
      </c>
      <c r="G151" s="15"/>
      <c r="H151" s="33">
        <f>+H147-H149</f>
        <v>-34073.080000000009</v>
      </c>
      <c r="I151" s="15"/>
      <c r="J151" s="34">
        <f>IF(H$12=0,0,H151/H$12)</f>
        <v>-0.34159506968581221</v>
      </c>
      <c r="K151" s="17"/>
      <c r="L151" s="33">
        <f>D151-H151</f>
        <v>169296.11000000007</v>
      </c>
      <c r="M151" s="17"/>
      <c r="N151" s="34">
        <f>IF(H151=0,0,L151/H151)</f>
        <v>-4.9686177475003737</v>
      </c>
      <c r="O151" s="27"/>
      <c r="P151" s="33">
        <f>+P147-P149</f>
        <v>486509.61999999947</v>
      </c>
      <c r="Q151" s="15"/>
      <c r="R151" s="34">
        <f>IF(P$12=0,0,P151/P$12)</f>
        <v>0.19316678294560882</v>
      </c>
      <c r="S151" s="15"/>
      <c r="T151" s="33">
        <f>+T147-T149</f>
        <v>86446.099999999773</v>
      </c>
      <c r="U151" s="15"/>
      <c r="V151" s="34">
        <f>IF(T$12=0,0,T151/T$12)</f>
        <v>7.6712120508118375E-2</v>
      </c>
      <c r="W151" s="17"/>
      <c r="X151" s="33">
        <f>P151-T151</f>
        <v>400063.51999999967</v>
      </c>
      <c r="Y151" s="17"/>
      <c r="Z151" s="34">
        <f>IF(T151=0,0,X151/T151)</f>
        <v>4.6278955325919933</v>
      </c>
    </row>
    <row r="152" spans="1:26" ht="15" customHeight="1" x14ac:dyDescent="0.3">
      <c r="A152" s="10"/>
      <c r="B152" s="10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ht="15" customHeight="1" x14ac:dyDescent="0.3">
      <c r="A153" s="10"/>
      <c r="B153" s="10"/>
      <c r="C153" s="10"/>
      <c r="D153" s="4"/>
      <c r="E153" s="4"/>
      <c r="F153" s="9"/>
      <c r="G153" s="4"/>
      <c r="H153" s="4"/>
      <c r="I153" s="4"/>
      <c r="J153" s="9"/>
      <c r="K153" s="4"/>
      <c r="L153" s="4"/>
      <c r="M153" s="4"/>
      <c r="N153" s="9"/>
      <c r="P153" s="4"/>
      <c r="Q153" s="4"/>
      <c r="R153" s="9"/>
      <c r="S153" s="4"/>
      <c r="T153" s="4"/>
      <c r="U153" s="4"/>
      <c r="V153" s="9"/>
      <c r="W153" s="4"/>
      <c r="X153" s="4"/>
      <c r="Y153" s="4"/>
      <c r="Z153" s="9"/>
    </row>
    <row r="154" spans="1:26" s="62" customFormat="1" ht="15" customHeight="1" x14ac:dyDescent="0.3">
      <c r="A154" s="11"/>
      <c r="B154" s="28" t="s">
        <v>296</v>
      </c>
      <c r="C154" s="28"/>
      <c r="D154" s="35">
        <f>SUM(D151:D153)</f>
        <v>135223.03000000006</v>
      </c>
      <c r="E154" s="15"/>
      <c r="F154" s="29">
        <f>IF(D$12=0,0,D154/D$12)</f>
        <v>0.26758008463588878</v>
      </c>
      <c r="G154" s="15"/>
      <c r="H154" s="35">
        <f>SUM(H151:H153)</f>
        <v>-34073.080000000009</v>
      </c>
      <c r="I154" s="15"/>
      <c r="J154" s="29">
        <f>IF(H$12=0,0,H154/H$12)</f>
        <v>-0.34159506968581221</v>
      </c>
      <c r="K154" s="17"/>
      <c r="L154" s="35">
        <f>+D154-H154</f>
        <v>169296.11000000007</v>
      </c>
      <c r="M154" s="17"/>
      <c r="N154" s="29">
        <f>IF(H154=0,0,L154/H154)</f>
        <v>-4.9686177475003737</v>
      </c>
      <c r="O154" s="27"/>
      <c r="P154" s="35">
        <f>SUM(P151:P153)</f>
        <v>486509.61999999947</v>
      </c>
      <c r="Q154" s="15"/>
      <c r="R154" s="29">
        <f>IF(P$12=0,0,P154/P$12)</f>
        <v>0.19316678294560882</v>
      </c>
      <c r="S154" s="15"/>
      <c r="T154" s="35">
        <f>SUM(T151:T153)</f>
        <v>86446.099999999773</v>
      </c>
      <c r="U154" s="15"/>
      <c r="V154" s="29">
        <f>IF(T$12=0,0,T154/T$12)</f>
        <v>7.6712120508118375E-2</v>
      </c>
      <c r="W154" s="17"/>
      <c r="X154" s="35">
        <f>+P154-T154</f>
        <v>400063.51999999967</v>
      </c>
      <c r="Y154" s="17"/>
      <c r="Z154" s="29">
        <f>IF(T154=0,0,X154/T154)</f>
        <v>4.6278955325919933</v>
      </c>
    </row>
    <row r="155" spans="1:26" ht="15" customHeight="1" x14ac:dyDescent="0.3">
      <c r="A155" s="10"/>
      <c r="C155" s="10"/>
      <c r="D155" s="18"/>
      <c r="E155" s="18"/>
      <c r="G155" s="18"/>
      <c r="H155" s="18"/>
      <c r="I155" s="18"/>
      <c r="J155" s="41"/>
      <c r="K155" s="18"/>
      <c r="L155" s="18"/>
      <c r="M155" s="18"/>
      <c r="P155" s="18"/>
      <c r="Q155" s="18"/>
      <c r="R155" s="41"/>
      <c r="S155" s="18"/>
      <c r="T155" s="18"/>
      <c r="U155" s="18"/>
      <c r="V155" s="41"/>
      <c r="W155" s="18"/>
      <c r="X155" s="18"/>
    </row>
    <row r="156" spans="1:26" ht="15" customHeight="1" x14ac:dyDescent="0.3">
      <c r="A156" s="10"/>
      <c r="B156" s="50">
        <v>44634.887810300927</v>
      </c>
      <c r="D156" s="18"/>
      <c r="E156" s="18"/>
      <c r="G156" s="18"/>
      <c r="H156" s="18"/>
      <c r="I156" s="18"/>
      <c r="J156" s="41"/>
      <c r="K156" s="18"/>
      <c r="L156" s="18"/>
      <c r="M156" s="18"/>
      <c r="P156" s="18"/>
      <c r="Q156" s="18"/>
      <c r="R156" s="41"/>
      <c r="S156" s="18"/>
      <c r="T156" s="18"/>
      <c r="U156" s="18"/>
      <c r="V156" s="41"/>
      <c r="W156" s="18"/>
      <c r="X156" s="18"/>
    </row>
    <row r="157" spans="1:26" ht="15" customHeight="1" x14ac:dyDescent="0.3">
      <c r="A157" s="10"/>
      <c r="B157" s="58" t="s">
        <v>297</v>
      </c>
      <c r="D157" s="18"/>
      <c r="E157" s="18"/>
      <c r="G157" s="18"/>
      <c r="H157" s="18"/>
      <c r="I157" s="18"/>
      <c r="J157" s="41"/>
      <c r="K157" s="18"/>
      <c r="L157" s="18"/>
      <c r="M157" s="18"/>
      <c r="P157" s="18"/>
      <c r="Q157" s="18"/>
      <c r="R157" s="41"/>
      <c r="S157" s="18"/>
      <c r="T157" s="18"/>
      <c r="U157" s="18"/>
      <c r="V157" s="41"/>
      <c r="W157" s="18"/>
      <c r="X157" s="18"/>
    </row>
    <row r="158" spans="1:26" ht="15" customHeight="1" x14ac:dyDescent="0.3">
      <c r="A158" s="10"/>
      <c r="B158" s="56"/>
      <c r="D158" s="18"/>
      <c r="E158" s="18"/>
      <c r="G158" s="18"/>
      <c r="H158" s="18"/>
      <c r="I158" s="18"/>
      <c r="J158" s="41"/>
      <c r="K158" s="18"/>
      <c r="L158" s="18"/>
      <c r="M158" s="18"/>
      <c r="P158" s="18"/>
      <c r="Q158" s="18"/>
      <c r="R158" s="41"/>
      <c r="S158" s="18"/>
      <c r="T158" s="18"/>
      <c r="U158" s="18"/>
      <c r="V158" s="41"/>
      <c r="W158" s="18"/>
      <c r="X158" s="18"/>
    </row>
    <row r="159" spans="1:26" ht="15" customHeight="1" x14ac:dyDescent="0.3">
      <c r="D159" s="18"/>
      <c r="E159" s="18"/>
      <c r="G159" s="18"/>
      <c r="H159" s="18"/>
      <c r="I159" s="18"/>
      <c r="J159" s="41"/>
      <c r="K159" s="18"/>
      <c r="L159" s="18"/>
      <c r="M159" s="18"/>
      <c r="P159" s="18"/>
      <c r="Q159" s="18"/>
      <c r="R159" s="41"/>
      <c r="S159" s="18"/>
      <c r="T159" s="18"/>
      <c r="U159" s="18"/>
      <c r="V159" s="41"/>
      <c r="W159" s="18"/>
      <c r="X159" s="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C9BC8-F145-D7A4-0286-57A906784F5E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2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5"/>
      <c r="L18" s="21">
        <f>+D18-H18</f>
        <v>0</v>
      </c>
      <c r="M18" s="5"/>
      <c r="N18" s="30">
        <f>IF(H18=0,0,L18/H18)</f>
        <v>0</v>
      </c>
      <c r="O18" s="11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5"/>
      <c r="X18" s="21">
        <f>+P18-T18</f>
        <v>0</v>
      </c>
      <c r="Y18" s="5"/>
      <c r="Z18" s="30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291</v>
      </c>
      <c r="C22" s="28"/>
      <c r="D22" s="23">
        <f>+D16-D18+D20</f>
        <v>0</v>
      </c>
      <c r="E22" s="15"/>
      <c r="F22" s="22">
        <f>IF(D$12=0,0,D22/D$12)</f>
        <v>0</v>
      </c>
      <c r="G22" s="15"/>
      <c r="H22" s="23">
        <f>+H16-H18+H20</f>
        <v>0</v>
      </c>
      <c r="I22" s="15"/>
      <c r="J22" s="22">
        <f>IF(H$12=0,0,H22/H$12)</f>
        <v>0</v>
      </c>
      <c r="K22" s="17"/>
      <c r="L22" s="23">
        <f>+D22-H22</f>
        <v>0</v>
      </c>
      <c r="M22" s="17"/>
      <c r="N22" s="22">
        <f>IF(H22=0,0,L22/H22)</f>
        <v>0</v>
      </c>
      <c r="O22" s="27"/>
      <c r="P22" s="23">
        <f>+P16-P18+P20</f>
        <v>0</v>
      </c>
      <c r="Q22" s="15"/>
      <c r="R22" s="22">
        <f>IF(P$12=0,0,P22/P$12)</f>
        <v>0</v>
      </c>
      <c r="S22" s="15"/>
      <c r="T22" s="23">
        <f>+T16-T18+T20</f>
        <v>0</v>
      </c>
      <c r="U22" s="15"/>
      <c r="V22" s="22">
        <f>IF(T$12=0,0,T22/T$12)</f>
        <v>0</v>
      </c>
      <c r="W22" s="17"/>
      <c r="X22" s="23">
        <f>+P22-T22</f>
        <v>0</v>
      </c>
      <c r="Y22" s="17"/>
      <c r="Z22" s="22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8" t="s">
        <v>293</v>
      </c>
      <c r="C26" s="28"/>
      <c r="D26" s="33">
        <f>+D22-D24</f>
        <v>0</v>
      </c>
      <c r="E26" s="15"/>
      <c r="F26" s="34">
        <f>IF(D$12=0,0,D26/D$12)</f>
        <v>0</v>
      </c>
      <c r="G26" s="15"/>
      <c r="H26" s="33">
        <f>+H22-H24</f>
        <v>0</v>
      </c>
      <c r="I26" s="15"/>
      <c r="J26" s="34">
        <f>IF(H$12=0,0,H26/H$12)</f>
        <v>0</v>
      </c>
      <c r="K26" s="17"/>
      <c r="L26" s="33">
        <f>D26-H26</f>
        <v>0</v>
      </c>
      <c r="M26" s="17"/>
      <c r="N26" s="34">
        <f>IF(H26=0,0,L26/H26)</f>
        <v>0</v>
      </c>
      <c r="O26" s="27"/>
      <c r="P26" s="33">
        <f>+P22-P24</f>
        <v>0</v>
      </c>
      <c r="Q26" s="15"/>
      <c r="R26" s="34">
        <f>IF(P$12=0,0,P26/P$12)</f>
        <v>0</v>
      </c>
      <c r="S26" s="15"/>
      <c r="T26" s="33">
        <f>+T22-T24</f>
        <v>0</v>
      </c>
      <c r="U26" s="15"/>
      <c r="V26" s="34">
        <f>IF(T$12=0,0,T26/T$12)</f>
        <v>0</v>
      </c>
      <c r="W26" s="17"/>
      <c r="X26" s="33">
        <f>P26-T26</f>
        <v>0</v>
      </c>
      <c r="Y26" s="17"/>
      <c r="Z26" s="34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-302139.84</f>
        <v>-302139.84000000003</v>
      </c>
      <c r="E28" s="5"/>
      <c r="F28" s="13">
        <f>IF(D$12=0,0,D28/D$12)</f>
        <v>0</v>
      </c>
      <c r="G28" s="5"/>
      <c r="H28" s="5">
        <f>--233369.99</f>
        <v>233369.99</v>
      </c>
      <c r="I28" s="5"/>
      <c r="J28" s="13">
        <f>IF(H$12=0,0,H28/H$12)</f>
        <v>0</v>
      </c>
      <c r="K28" s="5"/>
      <c r="L28" s="5">
        <f>+D28-H28</f>
        <v>-535509.83000000007</v>
      </c>
      <c r="M28" s="5"/>
      <c r="N28" s="13">
        <f>IF(H28=0,0,L28/H28)</f>
        <v>-2.294681634086714</v>
      </c>
      <c r="O28" s="11"/>
      <c r="P28" s="5">
        <f>-916333.72</f>
        <v>-916333.72</v>
      </c>
      <c r="Q28" s="5"/>
      <c r="R28" s="13">
        <f>IF(P$12=0,0,P28/P$12)</f>
        <v>0</v>
      </c>
      <c r="S28" s="5"/>
      <c r="T28" s="5">
        <f>--2191553.97</f>
        <v>2191553.9700000002</v>
      </c>
      <c r="U28" s="5"/>
      <c r="V28" s="13">
        <f>IF(T$12=0,0,T28/T$12)</f>
        <v>0</v>
      </c>
      <c r="W28" s="5"/>
      <c r="X28" s="5">
        <f>+P28-T28</f>
        <v>-3107887.6900000004</v>
      </c>
      <c r="Y28" s="5"/>
      <c r="Z28" s="13">
        <f>IF(T28=0,0,X28/T28)</f>
        <v>-1.4181205357219655</v>
      </c>
    </row>
    <row r="29" spans="1:26" s="62" customFormat="1" ht="15" customHeight="1" x14ac:dyDescent="0.3">
      <c r="A29" s="48"/>
      <c r="B29" s="11" t="s">
        <v>295</v>
      </c>
      <c r="C29" s="11"/>
      <c r="D29" s="5">
        <f>--9329.2</f>
        <v>9329.2000000000007</v>
      </c>
      <c r="E29" s="5"/>
      <c r="F29" s="13">
        <f>IF(D$12=0,0,D29/D$12)</f>
        <v>0</v>
      </c>
      <c r="G29" s="5"/>
      <c r="H29" s="5">
        <f>--12479.26</f>
        <v>12479.26</v>
      </c>
      <c r="I29" s="5"/>
      <c r="J29" s="13">
        <f>IF(H$12=0,0,H29/H$12)</f>
        <v>0</v>
      </c>
      <c r="K29" s="5"/>
      <c r="L29" s="5">
        <f>+D29-H29</f>
        <v>-3150.0599999999995</v>
      </c>
      <c r="M29" s="5"/>
      <c r="N29" s="13">
        <f>IF(H29=0,0,L29/H29)</f>
        <v>-0.25242362127241513</v>
      </c>
      <c r="O29" s="11"/>
      <c r="P29" s="5">
        <f>--2318939.64</f>
        <v>2318939.64</v>
      </c>
      <c r="Q29" s="5"/>
      <c r="R29" s="13">
        <f>IF(P$12=0,0,P29/P$12)</f>
        <v>0</v>
      </c>
      <c r="S29" s="5"/>
      <c r="T29" s="5">
        <f>--67055.26</f>
        <v>67055.259999999995</v>
      </c>
      <c r="U29" s="5"/>
      <c r="V29" s="13">
        <f>IF(T$12=0,0,T29/T$12)</f>
        <v>0</v>
      </c>
      <c r="W29" s="5"/>
      <c r="X29" s="5">
        <f>+P29-T29</f>
        <v>2251884.3800000004</v>
      </c>
      <c r="Y29" s="5"/>
      <c r="Z29" s="13">
        <f>IF(T29=0,0,X29/T29)</f>
        <v>33.582516569169975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35">
        <f>SUM(D26:D30)</f>
        <v>-292810.64</v>
      </c>
      <c r="E31" s="15"/>
      <c r="F31" s="29">
        <f>IF(D$12=0,0,D31/D$12)</f>
        <v>0</v>
      </c>
      <c r="G31" s="15"/>
      <c r="H31" s="35">
        <f>SUM(H26:H30)</f>
        <v>245849.25</v>
      </c>
      <c r="I31" s="15"/>
      <c r="J31" s="29">
        <f>IF(H$12=0,0,H31/H$12)</f>
        <v>0</v>
      </c>
      <c r="K31" s="17"/>
      <c r="L31" s="35">
        <f>+D31-H31</f>
        <v>-538659.89</v>
      </c>
      <c r="M31" s="17"/>
      <c r="N31" s="29">
        <f>IF(H31=0,0,L31/H31)</f>
        <v>-2.1910170155084874</v>
      </c>
      <c r="O31" s="27"/>
      <c r="P31" s="35">
        <f>SUM(P26:P30)</f>
        <v>1402605.9200000002</v>
      </c>
      <c r="Q31" s="15"/>
      <c r="R31" s="29">
        <f>IF(P$12=0,0,P31/P$12)</f>
        <v>0</v>
      </c>
      <c r="S31" s="15"/>
      <c r="T31" s="35">
        <f>SUM(T26:T30)</f>
        <v>2258609.23</v>
      </c>
      <c r="U31" s="15"/>
      <c r="V31" s="29">
        <f>IF(T$12=0,0,T31/T$12)</f>
        <v>0</v>
      </c>
      <c r="W31" s="17"/>
      <c r="X31" s="35">
        <f>+P31-T31</f>
        <v>-856003.30999999982</v>
      </c>
      <c r="Y31" s="17"/>
      <c r="Z31" s="29">
        <f>IF(T31=0,0,X31/T31)</f>
        <v>-0.3789957548344916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3">
      <c r="A33" s="10"/>
      <c r="B33" s="50">
        <v>44634.887759062498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3">
      <c r="A34" s="10"/>
      <c r="B34" s="58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3">
      <c r="A35" s="10"/>
      <c r="B35" s="56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7A29-0B83-EFF2-45FC-AB56BA3952A4}">
  <sheetPr>
    <tabColor rgb="FF92D050"/>
    <outlinePr summaryBelow="0" summaryRight="0"/>
  </sheetPr>
  <dimension ref="A2:Z12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","326"," - ","2nd Street Store")</f>
        <v>Department 326 - 2nd Street Store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26835.62</v>
      </c>
      <c r="E12" s="5"/>
      <c r="F12" s="13"/>
      <c r="G12" s="5"/>
      <c r="H12" s="5">
        <f>SUM(OSRRefH13x_0)</f>
        <v>20568.219999999998</v>
      </c>
      <c r="I12" s="5"/>
      <c r="J12" s="13"/>
      <c r="K12" s="5"/>
      <c r="L12" s="5">
        <f t="shared" ref="L12:L36" si="0">+D12-H12</f>
        <v>6267.4000000000015</v>
      </c>
      <c r="M12" s="5"/>
      <c r="N12" s="13">
        <f t="shared" ref="N12:N36" si="1">IF(H12=0,0,L12/H12)</f>
        <v>0.30471280451103705</v>
      </c>
      <c r="O12" s="11"/>
      <c r="P12" s="5">
        <f>SUM(OSRRefP13x_0)</f>
        <v>258141.62999999995</v>
      </c>
      <c r="Q12" s="5"/>
      <c r="R12" s="13"/>
      <c r="S12" s="5"/>
      <c r="T12" s="5">
        <f>SUM(OSRRefT13x_0)</f>
        <v>184238.42000000004</v>
      </c>
      <c r="U12" s="5"/>
      <c r="V12" s="13"/>
      <c r="W12" s="5"/>
      <c r="X12" s="5">
        <f t="shared" ref="X12:X36" si="2">+P12-T12</f>
        <v>73903.209999999905</v>
      </c>
      <c r="Y12" s="5"/>
      <c r="Z12" s="13">
        <f t="shared" ref="Z12:Z36" si="3">IF(T12=0,0,X12/T12)</f>
        <v>0.40112811432056295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--28550.45</f>
        <v>28550.45</v>
      </c>
      <c r="E13" s="3"/>
      <c r="F13" s="20"/>
      <c r="G13" s="3"/>
      <c r="H13" s="3">
        <f>-677.62</f>
        <v>-677.62</v>
      </c>
      <c r="I13" s="3"/>
      <c r="J13" s="20"/>
      <c r="K13" s="3"/>
      <c r="L13" s="3">
        <f t="shared" si="0"/>
        <v>29228.07</v>
      </c>
      <c r="M13" s="3"/>
      <c r="N13" s="20">
        <f t="shared" si="1"/>
        <v>-43.133422862371241</v>
      </c>
      <c r="O13" s="12"/>
      <c r="P13" s="3">
        <f>--274398.1</f>
        <v>274398.09999999998</v>
      </c>
      <c r="Q13" s="3"/>
      <c r="R13" s="20"/>
      <c r="S13" s="3"/>
      <c r="T13" s="3">
        <f>-5043.74</f>
        <v>-5043.74</v>
      </c>
      <c r="U13" s="3"/>
      <c r="V13" s="20"/>
      <c r="W13" s="3"/>
      <c r="X13" s="3">
        <f t="shared" si="2"/>
        <v>279441.83999999997</v>
      </c>
      <c r="Y13" s="3"/>
      <c r="Z13" s="20">
        <f t="shared" si="3"/>
        <v>-55.403696463338711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--41.38</f>
        <v>41.38</v>
      </c>
      <c r="I14" s="3"/>
      <c r="J14" s="20"/>
      <c r="K14" s="3"/>
      <c r="L14" s="3">
        <f t="shared" si="0"/>
        <v>-41.38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--208.88</f>
        <v>208.88</v>
      </c>
      <c r="U14" s="3"/>
      <c r="V14" s="20"/>
      <c r="W14" s="3"/>
      <c r="X14" s="3">
        <f t="shared" si="2"/>
        <v>-208.88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--42.77</f>
        <v>42.77</v>
      </c>
      <c r="I15" s="3"/>
      <c r="J15" s="20"/>
      <c r="K15" s="3"/>
      <c r="L15" s="3">
        <f t="shared" si="0"/>
        <v>-42.77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--333.88</f>
        <v>333.88</v>
      </c>
      <c r="U15" s="3"/>
      <c r="V15" s="20"/>
      <c r="W15" s="3"/>
      <c r="X15" s="3">
        <f t="shared" si="2"/>
        <v>-333.88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--29.24</f>
        <v>29.24</v>
      </c>
      <c r="U16" s="3"/>
      <c r="V16" s="20"/>
      <c r="W16" s="3"/>
      <c r="X16" s="3">
        <f t="shared" si="2"/>
        <v>-29.24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","4040"," - ","TAXABLE SALES-LOGO CLOTHING")</f>
        <v xml:space="preserve">          4040 - TAXABLE SALES-LOGO CLOTHING</v>
      </c>
      <c r="C17" s="12"/>
      <c r="D17" s="3">
        <f>0</f>
        <v>0</v>
      </c>
      <c r="E17" s="3"/>
      <c r="F17" s="20"/>
      <c r="G17" s="3"/>
      <c r="H17" s="3">
        <f>--17759.12</f>
        <v>17759.12</v>
      </c>
      <c r="I17" s="3"/>
      <c r="J17" s="20"/>
      <c r="K17" s="3"/>
      <c r="L17" s="3">
        <f t="shared" si="0"/>
        <v>-17759.12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--153740.04</f>
        <v>153740.04</v>
      </c>
      <c r="U17" s="3"/>
      <c r="V17" s="20"/>
      <c r="W17" s="3"/>
      <c r="X17" s="3">
        <f t="shared" si="2"/>
        <v>-153740.04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","4041"," - ","TAXABLE SALES-LOGO GIFTS")</f>
        <v xml:space="preserve">          4041 - TAXABLE SALES-LOGO GIFTS</v>
      </c>
      <c r="C18" s="12"/>
      <c r="D18" s="3">
        <f>0</f>
        <v>0</v>
      </c>
      <c r="E18" s="3"/>
      <c r="F18" s="20"/>
      <c r="G18" s="3"/>
      <c r="H18" s="3">
        <f>--2616.11</f>
        <v>2616.11</v>
      </c>
      <c r="I18" s="3"/>
      <c r="J18" s="20"/>
      <c r="K18" s="3"/>
      <c r="L18" s="3">
        <f t="shared" si="0"/>
        <v>-2616.11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--23914.09</f>
        <v>23914.09</v>
      </c>
      <c r="U18" s="3"/>
      <c r="V18" s="20"/>
      <c r="W18" s="3"/>
      <c r="X18" s="3">
        <f t="shared" si="2"/>
        <v>-23914.09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","4042"," - ","TAXABLE SALES-EVERYDAY GIFTS")</f>
        <v xml:space="preserve">          4042 - TAXABLE SALES-EVERYDAY GIFTS</v>
      </c>
      <c r="C19" s="12"/>
      <c r="D19" s="3">
        <f>0</f>
        <v>0</v>
      </c>
      <c r="E19" s="3"/>
      <c r="F19" s="20"/>
      <c r="G19" s="3"/>
      <c r="H19" s="3">
        <f>--283.35</f>
        <v>283.35000000000002</v>
      </c>
      <c r="I19" s="3"/>
      <c r="J19" s="20"/>
      <c r="K19" s="3"/>
      <c r="L19" s="3">
        <f t="shared" si="0"/>
        <v>-283.35000000000002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--6909.68</f>
        <v>6909.68</v>
      </c>
      <c r="U19" s="3"/>
      <c r="V19" s="20"/>
      <c r="W19" s="3"/>
      <c r="X19" s="3">
        <f t="shared" si="2"/>
        <v>-6909.68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","4043"," - ","TAXABLE SALES-CARDS")</f>
        <v xml:space="preserve">          4043 - TAXABLE SALES-CARDS</v>
      </c>
      <c r="C20" s="12"/>
      <c r="D20" s="3">
        <f>0</f>
        <v>0</v>
      </c>
      <c r="E20" s="3"/>
      <c r="F20" s="20"/>
      <c r="G20" s="3"/>
      <c r="H20" s="3">
        <f>--1351.69</f>
        <v>1351.69</v>
      </c>
      <c r="I20" s="3"/>
      <c r="J20" s="20"/>
      <c r="K20" s="3"/>
      <c r="L20" s="3">
        <f t="shared" si="0"/>
        <v>-1351.69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--9556.94</f>
        <v>9556.94</v>
      </c>
      <c r="U20" s="3"/>
      <c r="V20" s="20"/>
      <c r="W20" s="3"/>
      <c r="X20" s="3">
        <f t="shared" si="2"/>
        <v>-9556.94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","4044"," - ","TAXABLE SALES-ACCESSORIES")</f>
        <v xml:space="preserve">          4044 - TAXABLE SALES-ACCESSORIES</v>
      </c>
      <c r="C21" s="12"/>
      <c r="D21" s="3">
        <f>0</f>
        <v>0</v>
      </c>
      <c r="E21" s="3"/>
      <c r="F21" s="20"/>
      <c r="G21" s="3"/>
      <c r="H21" s="3">
        <f>--237.58</f>
        <v>237.58</v>
      </c>
      <c r="I21" s="3"/>
      <c r="J21" s="20"/>
      <c r="K21" s="3"/>
      <c r="L21" s="3">
        <f t="shared" si="0"/>
        <v>-237.58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--2170.75</f>
        <v>2170.75</v>
      </c>
      <c r="U21" s="3"/>
      <c r="V21" s="20"/>
      <c r="W21" s="3"/>
      <c r="X21" s="3">
        <f t="shared" si="2"/>
        <v>-2170.75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","4045"," - ","TAXABLE SALES-SPECIAL ORDERS")</f>
        <v xml:space="preserve">          4045 - TAXABLE SALES-SPECIAL ORDERS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--326.37</f>
        <v>326.37</v>
      </c>
      <c r="U22" s="3"/>
      <c r="V22" s="20"/>
      <c r="W22" s="3"/>
      <c r="X22" s="3">
        <f t="shared" si="2"/>
        <v>-326.37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","4100"," - ","NON-TAXABLE SALES")</f>
        <v xml:space="preserve">          4100 - NON-TAXABLE SALES</v>
      </c>
      <c r="C23" s="12"/>
      <c r="D23" s="3">
        <f>--31.5</f>
        <v>31.5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31.5</v>
      </c>
      <c r="M23" s="3"/>
      <c r="N23" s="20">
        <f t="shared" si="1"/>
        <v>0</v>
      </c>
      <c r="O23" s="12"/>
      <c r="P23" s="3">
        <f>--186.29</f>
        <v>186.29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186.29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","4131"," - ","NON-TAXABLE SALES-FOOD")</f>
        <v xml:space="preserve">          4131 - NON-TAXABLE SALES-FOOD</v>
      </c>
      <c r="C24" s="12"/>
      <c r="D24" s="3">
        <f>0</f>
        <v>0</v>
      </c>
      <c r="E24" s="3"/>
      <c r="F24" s="20"/>
      <c r="G24" s="3"/>
      <c r="H24" s="3">
        <f>--4.5</f>
        <v>4.5</v>
      </c>
      <c r="I24" s="3"/>
      <c r="J24" s="20"/>
      <c r="K24" s="3"/>
      <c r="L24" s="3">
        <f t="shared" si="0"/>
        <v>-4.5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--42</f>
        <v>42</v>
      </c>
      <c r="U24" s="3"/>
      <c r="V24" s="20"/>
      <c r="W24" s="3"/>
      <c r="X24" s="3">
        <f t="shared" si="2"/>
        <v>-42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","4137"," - ","NON-TAXABLE SALES-WATER")</f>
        <v xml:space="preserve">          4137 - NON-TAXABLE SALES-WATER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--9</f>
        <v>9</v>
      </c>
      <c r="U25" s="3"/>
      <c r="V25" s="20"/>
      <c r="W25" s="3"/>
      <c r="X25" s="3">
        <f t="shared" si="2"/>
        <v>-9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","4140"," - ","NON-TAXABLE SALES-LOGO CLOTHIN")</f>
        <v xml:space="preserve">          4140 - NON-TAXABLE SALES-LOGO CLOTHIN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--165.78</f>
        <v>165.78</v>
      </c>
      <c r="U26" s="3"/>
      <c r="V26" s="20"/>
      <c r="W26" s="3"/>
      <c r="X26" s="3">
        <f t="shared" si="2"/>
        <v>-165.78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","4145"," - ","NON-TAXABLE SALES-SPECIAL ORDE")</f>
        <v xml:space="preserve">          4145 - NON-TAXABLE SALES-SPECIAL ORDE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</f>
        <v>7</v>
      </c>
      <c r="U27" s="3"/>
      <c r="V27" s="20"/>
      <c r="W27" s="3"/>
      <c r="X27" s="3">
        <f t="shared" si="2"/>
        <v>-7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-1314.36</f>
        <v>-1314.36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-1314.36</v>
      </c>
      <c r="M28" s="3"/>
      <c r="N28" s="20">
        <f t="shared" si="1"/>
        <v>0</v>
      </c>
      <c r="O28" s="12"/>
      <c r="P28" s="3">
        <f>-10828.19</f>
        <v>-10828.19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-10828.19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","4226"," - ","SALES RETURN TAXABLE-WRITING I")</f>
        <v xml:space="preserve">          4226 - SALES RETURN TAXABLE-WRITING I</v>
      </c>
      <c r="C29" s="12"/>
      <c r="D29" s="3">
        <f>0</f>
        <v>0</v>
      </c>
      <c r="E29" s="3"/>
      <c r="F29" s="20"/>
      <c r="G29" s="3"/>
      <c r="H29" s="3">
        <f>0</f>
        <v>0</v>
      </c>
      <c r="I29" s="3"/>
      <c r="J29" s="20"/>
      <c r="K29" s="3"/>
      <c r="L29" s="3">
        <f t="shared" si="0"/>
        <v>0</v>
      </c>
      <c r="M29" s="3"/>
      <c r="N29" s="20">
        <f t="shared" si="1"/>
        <v>0</v>
      </c>
      <c r="O29" s="12"/>
      <c r="P29" s="3">
        <f>0</f>
        <v>0</v>
      </c>
      <c r="Q29" s="3"/>
      <c r="R29" s="20"/>
      <c r="S29" s="3"/>
      <c r="T29" s="3">
        <f>-27.85</f>
        <v>-27.85</v>
      </c>
      <c r="U29" s="3"/>
      <c r="V29" s="20"/>
      <c r="W29" s="3"/>
      <c r="X29" s="3">
        <f t="shared" si="2"/>
        <v>27.85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","4227"," - ","SALES RETURN TAXABLE-SCHOOL SU")</f>
        <v xml:space="preserve">          4227 - SALES RETURN TAXABLE-SCHOOL SU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-43.21</f>
        <v>-43.21</v>
      </c>
      <c r="U30" s="3"/>
      <c r="V30" s="20"/>
      <c r="W30" s="3"/>
      <c r="X30" s="3">
        <f t="shared" si="2"/>
        <v>43.21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","4240"," - ","SALES RETURN TAXABLE-LOGO CLOT")</f>
        <v xml:space="preserve">          4240 - SALES RETURN TAXABLE-LOGO CLOT</v>
      </c>
      <c r="C31" s="12"/>
      <c r="D31" s="3">
        <f>0</f>
        <v>0</v>
      </c>
      <c r="E31" s="3"/>
      <c r="F31" s="20"/>
      <c r="G31" s="3"/>
      <c r="H31" s="3">
        <f>-933.95</f>
        <v>-933.95</v>
      </c>
      <c r="I31" s="3"/>
      <c r="J31" s="20"/>
      <c r="K31" s="3"/>
      <c r="L31" s="3">
        <f t="shared" si="0"/>
        <v>933.95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-7336.28</f>
        <v>-7336.28</v>
      </c>
      <c r="U31" s="3"/>
      <c r="V31" s="20"/>
      <c r="W31" s="3"/>
      <c r="X31" s="3">
        <f t="shared" si="2"/>
        <v>7336.28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","4241"," - ","SALES RETURN TAXABLE-LOGO GIFT")</f>
        <v xml:space="preserve">          4241 - SALES RETURN TAXABLE-LOGO GIFT</v>
      </c>
      <c r="C32" s="12"/>
      <c r="D32" s="3">
        <f>0</f>
        <v>0</v>
      </c>
      <c r="E32" s="3"/>
      <c r="F32" s="20"/>
      <c r="G32" s="3"/>
      <c r="H32" s="3">
        <f>-111.75</f>
        <v>-111.75</v>
      </c>
      <c r="I32" s="3"/>
      <c r="J32" s="20"/>
      <c r="K32" s="3"/>
      <c r="L32" s="3">
        <f t="shared" si="0"/>
        <v>111.75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-391.11</f>
        <v>-391.11</v>
      </c>
      <c r="U32" s="3"/>
      <c r="V32" s="20"/>
      <c r="W32" s="3"/>
      <c r="X32" s="3">
        <f t="shared" si="2"/>
        <v>391.11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","4242"," - ","SALES RETURN TAXABLE-EVERYDAY")</f>
        <v xml:space="preserve">          4242 - SALES RETURN TAXABLE-EVERYDAY</v>
      </c>
      <c r="C33" s="12"/>
      <c r="D33" s="3">
        <f>0</f>
        <v>0</v>
      </c>
      <c r="E33" s="3"/>
      <c r="F33" s="20"/>
      <c r="G33" s="3"/>
      <c r="H33" s="3">
        <f>-44.96</f>
        <v>-44.96</v>
      </c>
      <c r="I33" s="3"/>
      <c r="J33" s="20"/>
      <c r="K33" s="3"/>
      <c r="L33" s="3">
        <f t="shared" si="0"/>
        <v>44.96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-296.11</f>
        <v>-296.11</v>
      </c>
      <c r="U33" s="3"/>
      <c r="V33" s="20"/>
      <c r="W33" s="3"/>
      <c r="X33" s="3">
        <f t="shared" si="2"/>
        <v>296.11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","4244"," - ","SALES RETURN TAXABLE-ACCESSORI")</f>
        <v xml:space="preserve">          4244 - SALES RETURN TAXABLE-ACCESSORI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-29.93</f>
        <v>-29.93</v>
      </c>
      <c r="U34" s="3"/>
      <c r="V34" s="20"/>
      <c r="W34" s="3"/>
      <c r="X34" s="3">
        <f t="shared" si="2"/>
        <v>29.93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","4245"," - ","SALES RETURN TAXABLE-SPECIAL O")</f>
        <v xml:space="preserve">          4245 - SALES RETURN TAXABLE-SPECIAL O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-7</f>
        <v>-7</v>
      </c>
      <c r="U35" s="3"/>
      <c r="V35" s="20"/>
      <c r="W35" s="3"/>
      <c r="X35" s="3">
        <f t="shared" si="2"/>
        <v>7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","4500"," - ","SALES DISCOUNT")</f>
        <v xml:space="preserve">          4500 - SALES DISCOUNT</v>
      </c>
      <c r="C36" s="12"/>
      <c r="D36" s="3">
        <f>-431.97</f>
        <v>-431.97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-431.97</v>
      </c>
      <c r="M36" s="3"/>
      <c r="N36" s="20">
        <f t="shared" si="1"/>
        <v>0</v>
      </c>
      <c r="O36" s="12"/>
      <c r="P36" s="3">
        <f>-5614.57</f>
        <v>-5614.57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-5614.57</v>
      </c>
      <c r="Y36" s="3"/>
      <c r="Z36" s="20">
        <f t="shared" si="3"/>
        <v>0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collapsed="1" x14ac:dyDescent="0.3">
      <c r="A38" s="11"/>
      <c r="B38" s="27" t="s">
        <v>287</v>
      </c>
      <c r="C38" s="11"/>
      <c r="D38" s="5">
        <f>SUM(OSRRefD16x_0)</f>
        <v>12277.38</v>
      </c>
      <c r="E38" s="5"/>
      <c r="F38" s="13">
        <f t="shared" ref="F38:F46" si="4">IF(D$12=0,0,D38/D$12)</f>
        <v>0.45750312457845205</v>
      </c>
      <c r="G38" s="5"/>
      <c r="H38" s="5">
        <f>SUM(OSRRefH16x_0)</f>
        <v>9395</v>
      </c>
      <c r="I38" s="5"/>
      <c r="J38" s="13">
        <f t="shared" ref="J38:J46" si="5">IF(H$12=0,0,H38/H$12)</f>
        <v>0.45677263273146634</v>
      </c>
      <c r="K38" s="5"/>
      <c r="L38" s="5">
        <f t="shared" ref="L38:L46" si="6">+D38-H38</f>
        <v>2882.3799999999992</v>
      </c>
      <c r="M38" s="5"/>
      <c r="N38" s="13">
        <f t="shared" ref="N38:N46" si="7">IF(H38=0,0,L38/H38)</f>
        <v>0.30679936136242675</v>
      </c>
      <c r="O38" s="11"/>
      <c r="P38" s="5">
        <f>SUM(OSRRefP16x_0)</f>
        <v>120057.69</v>
      </c>
      <c r="Q38" s="5"/>
      <c r="R38" s="13">
        <f t="shared" ref="R38:R46" si="8">IF(P$12=0,0,P38/P$12)</f>
        <v>0.465084573921688</v>
      </c>
      <c r="S38" s="5"/>
      <c r="T38" s="5">
        <f>SUM(OSRRefT16x_0)</f>
        <v>82274</v>
      </c>
      <c r="U38" s="5"/>
      <c r="V38" s="13">
        <f t="shared" ref="V38:V46" si="9">IF(T$12=0,0,T38/T$12)</f>
        <v>0.44656266591951876</v>
      </c>
      <c r="W38" s="5"/>
      <c r="X38" s="5">
        <f t="shared" ref="X38:X46" si="10">+P38-T38</f>
        <v>37783.69</v>
      </c>
      <c r="Y38" s="5"/>
      <c r="Z38" s="13">
        <f t="shared" ref="Z38:Z46" si="11">IF(T38=0,0,X38/T38)</f>
        <v>0.45924216641952503</v>
      </c>
    </row>
    <row r="39" spans="1:26" s="69" customFormat="1" ht="15" hidden="1" customHeight="1" outlineLevel="1" x14ac:dyDescent="0.3">
      <c r="A39" s="42"/>
      <c r="B39" s="12" t="str">
        <f>CONCATENATE("          ","5000"," - ","PURCHASES @ COST")</f>
        <v xml:space="preserve">          5000 - PURCHASES @ COST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5388.9</v>
      </c>
      <c r="Q39" s="3"/>
      <c r="R39" s="20">
        <f t="shared" si="8"/>
        <v>2.0875749486822411E-2</v>
      </c>
      <c r="S39" s="3"/>
      <c r="T39" s="3"/>
      <c r="U39" s="3"/>
      <c r="V39" s="20">
        <f t="shared" si="9"/>
        <v>0</v>
      </c>
      <c r="W39" s="3"/>
      <c r="X39" s="3">
        <f t="shared" si="10"/>
        <v>5388.9</v>
      </c>
      <c r="Y39" s="3"/>
      <c r="Z39" s="20">
        <f t="shared" si="11"/>
        <v>0</v>
      </c>
    </row>
    <row r="40" spans="1:26" s="69" customFormat="1" ht="15" hidden="1" customHeight="1" outlineLevel="1" x14ac:dyDescent="0.3">
      <c r="A40" s="42"/>
      <c r="B40" s="12" t="str">
        <f>CONCATENATE("          ","5040"," - ","PURCHASES @ COST-LOGO CLOTHING")</f>
        <v xml:space="preserve">          5040 - PURCHASES @ COST-LOGO CLOTHING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/>
      <c r="Q40" s="3"/>
      <c r="R40" s="20">
        <f t="shared" si="8"/>
        <v>0</v>
      </c>
      <c r="S40" s="3"/>
      <c r="T40" s="3">
        <v>0</v>
      </c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69" customFormat="1" ht="15" hidden="1" customHeight="1" outlineLevel="1" x14ac:dyDescent="0.3">
      <c r="A41" s="42"/>
      <c r="B41" s="12" t="str">
        <f>CONCATENATE("          ","5041"," - ","PURCHASES @ COST-LOGO GIFTS")</f>
        <v xml:space="preserve">          5041 - PURCHASES @ COST-LOGO GIFTS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/>
      <c r="Q41" s="3"/>
      <c r="R41" s="20">
        <f t="shared" si="8"/>
        <v>0</v>
      </c>
      <c r="S41" s="3"/>
      <c r="T41" s="3">
        <v>207.6</v>
      </c>
      <c r="U41" s="3"/>
      <c r="V41" s="20">
        <f t="shared" si="9"/>
        <v>1.1268008051740779E-3</v>
      </c>
      <c r="W41" s="3"/>
      <c r="X41" s="3">
        <f t="shared" si="10"/>
        <v>-207.6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","5042"," - ","PURCHASES @ COST-EVERYDAY GIFT")</f>
        <v xml:space="preserve">          5042 - PURCHASES @ COST-EVERYDAY GIFT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/>
      <c r="Q42" s="3"/>
      <c r="R42" s="20">
        <f t="shared" si="8"/>
        <v>0</v>
      </c>
      <c r="S42" s="3"/>
      <c r="T42" s="3">
        <v>7946.04</v>
      </c>
      <c r="U42" s="3"/>
      <c r="V42" s="20">
        <f t="shared" si="9"/>
        <v>4.312911498046932E-2</v>
      </c>
      <c r="W42" s="3"/>
      <c r="X42" s="3">
        <f t="shared" si="10"/>
        <v>-7946.04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","5086"," - ","PURCHASES @ COST-COMPUTER SUPP")</f>
        <v xml:space="preserve">          5086 - PURCHASES @ COST-COMPUTER SUPP</v>
      </c>
      <c r="C43" s="12"/>
      <c r="D43" s="3"/>
      <c r="E43" s="3"/>
      <c r="F43" s="20">
        <f t="shared" si="4"/>
        <v>0</v>
      </c>
      <c r="G43" s="3"/>
      <c r="H43" s="3">
        <v>13.21</v>
      </c>
      <c r="I43" s="3"/>
      <c r="J43" s="20">
        <f t="shared" si="5"/>
        <v>6.4225295139783622E-4</v>
      </c>
      <c r="K43" s="3"/>
      <c r="L43" s="3">
        <f t="shared" si="6"/>
        <v>-13.21</v>
      </c>
      <c r="M43" s="3"/>
      <c r="N43" s="20">
        <f t="shared" si="7"/>
        <v>-1</v>
      </c>
      <c r="O43" s="12"/>
      <c r="P43" s="3"/>
      <c r="Q43" s="3"/>
      <c r="R43" s="20">
        <f t="shared" si="8"/>
        <v>0</v>
      </c>
      <c r="S43" s="3"/>
      <c r="T43" s="3">
        <v>13.21</v>
      </c>
      <c r="U43" s="3"/>
      <c r="V43" s="20">
        <f t="shared" si="9"/>
        <v>7.1700571466038398E-5</v>
      </c>
      <c r="W43" s="3"/>
      <c r="X43" s="3">
        <f t="shared" si="10"/>
        <v>-13.21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","5200"," - ","PURCHASES OFFSET")</f>
        <v xml:space="preserve">          5200 - PURCHASES OFFSET</v>
      </c>
      <c r="C44" s="12"/>
      <c r="D44" s="3"/>
      <c r="E44" s="3"/>
      <c r="F44" s="20">
        <f t="shared" si="4"/>
        <v>0</v>
      </c>
      <c r="G44" s="3"/>
      <c r="H44" s="3">
        <v>-13.21</v>
      </c>
      <c r="I44" s="3"/>
      <c r="J44" s="20">
        <f t="shared" si="5"/>
        <v>-6.4225295139783622E-4</v>
      </c>
      <c r="K44" s="3"/>
      <c r="L44" s="3">
        <f t="shared" si="6"/>
        <v>13.21</v>
      </c>
      <c r="M44" s="3"/>
      <c r="N44" s="20">
        <f t="shared" si="7"/>
        <v>-1</v>
      </c>
      <c r="O44" s="12"/>
      <c r="P44" s="3">
        <v>-5481.89</v>
      </c>
      <c r="Q44" s="3"/>
      <c r="R44" s="20">
        <f t="shared" si="8"/>
        <v>-2.1235978094660678E-2</v>
      </c>
      <c r="S44" s="3"/>
      <c r="T44" s="3">
        <v>-8166.85</v>
      </c>
      <c r="U44" s="3"/>
      <c r="V44" s="20">
        <f t="shared" si="9"/>
        <v>-4.4327616357109439E-2</v>
      </c>
      <c r="W44" s="3"/>
      <c r="X44" s="3">
        <f t="shared" si="10"/>
        <v>2684.96</v>
      </c>
      <c r="Y44" s="3"/>
      <c r="Z44" s="20">
        <f t="shared" si="11"/>
        <v>-0.32876323184581568</v>
      </c>
    </row>
    <row r="45" spans="1:26" s="69" customFormat="1" ht="15" hidden="1" customHeight="1" outlineLevel="1" x14ac:dyDescent="0.3">
      <c r="A45" s="42"/>
      <c r="B45" s="12" t="str">
        <f>CONCATENATE("          ","5300"," - ","COG$ OFFSET")</f>
        <v xml:space="preserve">          5300 - COG$ OFFSET</v>
      </c>
      <c r="C45" s="12"/>
      <c r="D45" s="3">
        <v>12277.38</v>
      </c>
      <c r="E45" s="3"/>
      <c r="F45" s="20">
        <f t="shared" si="4"/>
        <v>0.45750312457845205</v>
      </c>
      <c r="G45" s="3"/>
      <c r="H45" s="3">
        <v>9395</v>
      </c>
      <c r="I45" s="3"/>
      <c r="J45" s="20">
        <f t="shared" si="5"/>
        <v>0.45677263273146634</v>
      </c>
      <c r="K45" s="3"/>
      <c r="L45" s="3">
        <f t="shared" si="6"/>
        <v>2882.3799999999992</v>
      </c>
      <c r="M45" s="3"/>
      <c r="N45" s="20">
        <f t="shared" si="7"/>
        <v>0.30679936136242675</v>
      </c>
      <c r="O45" s="12"/>
      <c r="P45" s="3">
        <v>120057.69</v>
      </c>
      <c r="Q45" s="3"/>
      <c r="R45" s="20">
        <f t="shared" si="8"/>
        <v>0.465084573921688</v>
      </c>
      <c r="S45" s="3"/>
      <c r="T45" s="3">
        <v>82274</v>
      </c>
      <c r="U45" s="3"/>
      <c r="V45" s="20">
        <f t="shared" si="9"/>
        <v>0.44656266591951876</v>
      </c>
      <c r="W45" s="3"/>
      <c r="X45" s="3">
        <f t="shared" si="10"/>
        <v>37783.69</v>
      </c>
      <c r="Y45" s="3"/>
      <c r="Z45" s="20">
        <f t="shared" si="11"/>
        <v>0.45924216641952503</v>
      </c>
    </row>
    <row r="46" spans="1:26" s="69" customFormat="1" ht="15" hidden="1" customHeight="1" outlineLevel="1" x14ac:dyDescent="0.3">
      <c r="A46" s="42"/>
      <c r="B46" s="12" t="str">
        <f>CONCATENATE("          ","5500"," - ","FREIGHT-IN")</f>
        <v xml:space="preserve">          5500 - FREIGHT-IN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92.99</v>
      </c>
      <c r="Q46" s="3"/>
      <c r="R46" s="20">
        <f t="shared" si="8"/>
        <v>3.602286078382631E-4</v>
      </c>
      <c r="S46" s="3"/>
      <c r="T46" s="3"/>
      <c r="U46" s="3"/>
      <c r="V46" s="20">
        <f t="shared" si="9"/>
        <v>0</v>
      </c>
      <c r="W46" s="3"/>
      <c r="X46" s="3">
        <f t="shared" si="10"/>
        <v>92.99</v>
      </c>
      <c r="Y46" s="3"/>
      <c r="Z46" s="20">
        <f t="shared" si="11"/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288</v>
      </c>
      <c r="C48" s="28"/>
      <c r="D48" s="23">
        <f>D12-D38</f>
        <v>14558.24</v>
      </c>
      <c r="E48" s="15"/>
      <c r="F48" s="22">
        <f>IF(D$12=0,0,D48/D$12)</f>
        <v>0.5424968754215479</v>
      </c>
      <c r="G48" s="15"/>
      <c r="H48" s="23">
        <f>H12-H38</f>
        <v>11173.219999999998</v>
      </c>
      <c r="I48" s="15"/>
      <c r="J48" s="22">
        <f>IF(H$12=0,0,H48/H$12)</f>
        <v>0.5432273672685336</v>
      </c>
      <c r="K48" s="17"/>
      <c r="L48" s="23">
        <f>+D48-H48</f>
        <v>3385.0200000000023</v>
      </c>
      <c r="M48" s="17"/>
      <c r="N48" s="22">
        <f>IF(H48=0,0,L48/H48)</f>
        <v>0.30295832356294811</v>
      </c>
      <c r="O48" s="27"/>
      <c r="P48" s="23">
        <f>P12-P38</f>
        <v>138083.93999999994</v>
      </c>
      <c r="Q48" s="15"/>
      <c r="R48" s="22">
        <f>IF(P$12=0,0,P48/P$12)</f>
        <v>0.534915426078312</v>
      </c>
      <c r="S48" s="15"/>
      <c r="T48" s="23">
        <f>T12-T38</f>
        <v>101964.42000000004</v>
      </c>
      <c r="U48" s="15"/>
      <c r="V48" s="22">
        <f>IF(T$12=0,0,T48/T$12)</f>
        <v>0.55343733408048124</v>
      </c>
      <c r="W48" s="17"/>
      <c r="X48" s="23">
        <f>+P48-T48</f>
        <v>36119.519999999902</v>
      </c>
      <c r="Y48" s="17"/>
      <c r="Z48" s="22">
        <f>IF(T48=0,0,X48/T48)</f>
        <v>0.35423650720515926</v>
      </c>
    </row>
    <row r="49" spans="1:26" ht="15" customHeight="1" x14ac:dyDescent="0.3">
      <c r="A49" s="10"/>
      <c r="B49" s="11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3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62" customFormat="1" ht="15" customHeight="1" x14ac:dyDescent="0.3">
      <c r="A50" s="11"/>
      <c r="B50" s="27" t="s">
        <v>289</v>
      </c>
      <c r="C50" s="11"/>
      <c r="D50" s="21" cm="1">
        <f t="array" ref="D50">SUM(OSRRefD22x_0)</f>
        <v>16264.04</v>
      </c>
      <c r="E50" s="21"/>
      <c r="F50" s="30">
        <f t="shared" ref="F50:F81" si="12">IF(D$12=0,0,D50/D$12)</f>
        <v>0.6060616449331151</v>
      </c>
      <c r="G50" s="21"/>
      <c r="H50" s="21" cm="1">
        <f t="array" ref="H50">SUM(OSRRefH22x_0)</f>
        <v>19113.539999999997</v>
      </c>
      <c r="I50" s="21"/>
      <c r="J50" s="30">
        <f t="shared" ref="J50:J81" si="13">IF(H$12=0,0,H50/H$12)</f>
        <v>0.9292753578092805</v>
      </c>
      <c r="K50" s="5"/>
      <c r="L50" s="21">
        <f t="shared" ref="L50:L81" si="14">+D50-H50</f>
        <v>-2849.4999999999964</v>
      </c>
      <c r="M50" s="5"/>
      <c r="N50" s="30">
        <f t="shared" ref="N50:N81" si="15">IF(H50=0,0,L50/H50)</f>
        <v>-0.14908279680268527</v>
      </c>
      <c r="O50" s="11"/>
      <c r="P50" s="21" cm="1">
        <f t="array" ref="P50">SUM(OSRRefP22x_0)</f>
        <v>138269.30000000005</v>
      </c>
      <c r="Q50" s="21"/>
      <c r="R50" s="30">
        <f t="shared" ref="R50:R81" si="16">IF(P$12=0,0,P50/P$12)</f>
        <v>0.53563348151168055</v>
      </c>
      <c r="S50" s="21"/>
      <c r="T50" s="21" cm="1">
        <f t="array" ref="T50">SUM(OSRRefT22x_0)</f>
        <v>171840.43</v>
      </c>
      <c r="U50" s="21"/>
      <c r="V50" s="30">
        <f t="shared" ref="V50:V81" si="17">IF(T$12=0,0,T50/T$12)</f>
        <v>0.93270681544055767</v>
      </c>
      <c r="W50" s="5"/>
      <c r="X50" s="21">
        <f t="shared" ref="X50:X81" si="18">+P50-T50</f>
        <v>-33571.129999999946</v>
      </c>
      <c r="Y50" s="5"/>
      <c r="Z50" s="30">
        <f t="shared" ref="Z50:Z81" si="19">IF(T50=0,0,X50/T50)</f>
        <v>-0.19536223227560562</v>
      </c>
    </row>
    <row r="51" spans="1:26" s="68" customFormat="1" ht="15" customHeight="1" outlineLevel="1" collapsed="1" x14ac:dyDescent="0.3">
      <c r="A51" s="25"/>
      <c r="B51" s="14" t="str">
        <f>CONCATENATE("     ","*Benefits                                         ")</f>
        <v xml:space="preserve">     *Benefits                                         </v>
      </c>
      <c r="C51" s="14"/>
      <c r="D51" s="2">
        <f>SUM(OSRRefD22_0x_0)</f>
        <v>1456.46</v>
      </c>
      <c r="E51" s="2"/>
      <c r="F51" s="6">
        <f t="shared" si="12"/>
        <v>5.4273387385869981E-2</v>
      </c>
      <c r="G51" s="2"/>
      <c r="H51" s="2">
        <f>SUM(OSRRefH22_0x_0)</f>
        <v>3683.69</v>
      </c>
      <c r="I51" s="2"/>
      <c r="J51" s="6">
        <f t="shared" si="13"/>
        <v>0.17909619792087017</v>
      </c>
      <c r="K51" s="2"/>
      <c r="L51" s="2">
        <f t="shared" si="14"/>
        <v>-2227.23</v>
      </c>
      <c r="M51" s="2"/>
      <c r="N51" s="6">
        <f t="shared" si="15"/>
        <v>-0.60461928120987374</v>
      </c>
      <c r="O51" s="14"/>
      <c r="P51" s="2">
        <f>SUM(OSRRefP22_0x_0)</f>
        <v>10324.580000000002</v>
      </c>
      <c r="Q51" s="2"/>
      <c r="R51" s="6">
        <f t="shared" si="16"/>
        <v>3.9995796106191799E-2</v>
      </c>
      <c r="S51" s="2"/>
      <c r="T51" s="2">
        <f>SUM(OSRRefT22_0x_0)</f>
        <v>39494.699999999997</v>
      </c>
      <c r="U51" s="2"/>
      <c r="V51" s="6">
        <f t="shared" si="17"/>
        <v>0.21436733988491644</v>
      </c>
      <c r="W51" s="2"/>
      <c r="X51" s="2">
        <f t="shared" si="18"/>
        <v>-29170.119999999995</v>
      </c>
      <c r="Y51" s="2"/>
      <c r="Z51" s="6">
        <f t="shared" si="19"/>
        <v>-0.73858315166338773</v>
      </c>
    </row>
    <row r="52" spans="1:26" s="69" customFormat="1" ht="15" hidden="1" customHeight="1" outlineLevel="2" x14ac:dyDescent="0.3">
      <c r="A52" s="26"/>
      <c r="B52" s="12" t="str">
        <f>CONCATENATE("          ","6111"," - ","F.I.C.A.")</f>
        <v xml:space="preserve">          6111 - F.I.C.A.</v>
      </c>
      <c r="C52" s="12"/>
      <c r="D52" s="8">
        <v>148.94999999999999</v>
      </c>
      <c r="E52" s="3"/>
      <c r="F52" s="7">
        <f t="shared" si="12"/>
        <v>5.5504586814092609E-3</v>
      </c>
      <c r="G52" s="3"/>
      <c r="H52" s="8">
        <v>511.97</v>
      </c>
      <c r="I52" s="3"/>
      <c r="J52" s="7">
        <f t="shared" si="13"/>
        <v>2.4891312908943995E-2</v>
      </c>
      <c r="K52" s="3"/>
      <c r="L52" s="8">
        <f t="shared" si="14"/>
        <v>-363.02000000000004</v>
      </c>
      <c r="M52" s="3"/>
      <c r="N52" s="7">
        <f t="shared" si="15"/>
        <v>-0.70906498427642251</v>
      </c>
      <c r="O52" s="12"/>
      <c r="P52" s="8">
        <v>1996.24</v>
      </c>
      <c r="Q52" s="3"/>
      <c r="R52" s="7">
        <f t="shared" si="16"/>
        <v>7.7331192183143823E-3</v>
      </c>
      <c r="S52" s="3"/>
      <c r="T52" s="8">
        <v>5532.87</v>
      </c>
      <c r="U52" s="3"/>
      <c r="V52" s="7">
        <f t="shared" si="17"/>
        <v>3.0031032615238443E-2</v>
      </c>
      <c r="W52" s="3"/>
      <c r="X52" s="8">
        <f t="shared" si="18"/>
        <v>-3536.63</v>
      </c>
      <c r="Y52" s="3"/>
      <c r="Z52" s="7">
        <f t="shared" si="19"/>
        <v>-0.63920352366854816</v>
      </c>
    </row>
    <row r="53" spans="1:26" s="69" customFormat="1" ht="15" hidden="1" customHeight="1" outlineLevel="2" x14ac:dyDescent="0.3">
      <c r="A53" s="26"/>
      <c r="B53" s="12" t="str">
        <f>CONCATENATE("          ","6112"," - ","COMPENSATION INSURANCE")</f>
        <v xml:space="preserve">          6112 - COMPENSATION INSURANCE</v>
      </c>
      <c r="C53" s="12"/>
      <c r="D53" s="8">
        <v>91.84</v>
      </c>
      <c r="E53" s="3"/>
      <c r="F53" s="7">
        <f t="shared" si="12"/>
        <v>3.4223170547205547E-3</v>
      </c>
      <c r="G53" s="3"/>
      <c r="H53" s="8">
        <v>151.97999999999999</v>
      </c>
      <c r="I53" s="3"/>
      <c r="J53" s="7">
        <f t="shared" si="13"/>
        <v>7.3890691562031137E-3</v>
      </c>
      <c r="K53" s="3"/>
      <c r="L53" s="8">
        <f t="shared" si="14"/>
        <v>-60.139999999999986</v>
      </c>
      <c r="M53" s="3"/>
      <c r="N53" s="7">
        <f t="shared" si="15"/>
        <v>-0.39570996183708379</v>
      </c>
      <c r="O53" s="12"/>
      <c r="P53" s="8">
        <v>455.67</v>
      </c>
      <c r="Q53" s="3"/>
      <c r="R53" s="7">
        <f t="shared" si="16"/>
        <v>1.765193781413715E-3</v>
      </c>
      <c r="S53" s="3"/>
      <c r="T53" s="8">
        <v>1915.03</v>
      </c>
      <c r="U53" s="3"/>
      <c r="V53" s="7">
        <f t="shared" si="17"/>
        <v>1.0394303207767411E-2</v>
      </c>
      <c r="W53" s="3"/>
      <c r="X53" s="8">
        <f t="shared" si="18"/>
        <v>-1459.36</v>
      </c>
      <c r="Y53" s="3"/>
      <c r="Z53" s="7">
        <f t="shared" si="19"/>
        <v>-0.76205594690422596</v>
      </c>
    </row>
    <row r="54" spans="1:26" s="69" customFormat="1" ht="15" hidden="1" customHeight="1" outlineLevel="2" x14ac:dyDescent="0.3">
      <c r="A54" s="26"/>
      <c r="B54" s="12" t="str">
        <f>CONCATENATE("          ","6113"," - ","GROUP INSURANCE")</f>
        <v xml:space="preserve">          6113 - GROUP INSURANCE</v>
      </c>
      <c r="C54" s="12"/>
      <c r="D54" s="8">
        <v>487.33</v>
      </c>
      <c r="E54" s="3"/>
      <c r="F54" s="7">
        <f t="shared" si="12"/>
        <v>1.8159818927231793E-2</v>
      </c>
      <c r="G54" s="3"/>
      <c r="H54" s="8">
        <v>2002.18</v>
      </c>
      <c r="I54" s="3"/>
      <c r="J54" s="7">
        <f t="shared" si="13"/>
        <v>9.7343377307321705E-2</v>
      </c>
      <c r="K54" s="3"/>
      <c r="L54" s="8">
        <f t="shared" si="14"/>
        <v>-1514.8500000000001</v>
      </c>
      <c r="M54" s="3"/>
      <c r="N54" s="7">
        <f t="shared" si="15"/>
        <v>-0.75660030566682324</v>
      </c>
      <c r="O54" s="12"/>
      <c r="P54" s="8">
        <v>4146.1099999999997</v>
      </c>
      <c r="Q54" s="3"/>
      <c r="R54" s="7">
        <f t="shared" si="16"/>
        <v>1.6061376849599969E-2</v>
      </c>
      <c r="S54" s="3"/>
      <c r="T54" s="8">
        <v>20294.22</v>
      </c>
      <c r="U54" s="3"/>
      <c r="V54" s="7">
        <f t="shared" si="17"/>
        <v>0.11015194333516319</v>
      </c>
      <c r="W54" s="3"/>
      <c r="X54" s="8">
        <f t="shared" si="18"/>
        <v>-16148.11</v>
      </c>
      <c r="Y54" s="3"/>
      <c r="Z54" s="7">
        <f t="shared" si="19"/>
        <v>-0.79569995791905279</v>
      </c>
    </row>
    <row r="55" spans="1:26" s="69" customFormat="1" ht="15" hidden="1" customHeight="1" outlineLevel="2" x14ac:dyDescent="0.3">
      <c r="A55" s="26"/>
      <c r="B55" s="12" t="str">
        <f>CONCATENATE("          ","6114"," - ","STATE UNEMPLOYMENT INSURANCE")</f>
        <v xml:space="preserve">          6114 - STATE UNEMPLOYMENT INSURANCE</v>
      </c>
      <c r="C55" s="12"/>
      <c r="D55" s="8">
        <v>16.13</v>
      </c>
      <c r="E55" s="3"/>
      <c r="F55" s="7">
        <f t="shared" si="12"/>
        <v>6.0106679107842481E-4</v>
      </c>
      <c r="G55" s="3"/>
      <c r="H55" s="8">
        <v>21.36</v>
      </c>
      <c r="I55" s="3"/>
      <c r="J55" s="7">
        <f t="shared" si="13"/>
        <v>1.0384953097545631E-3</v>
      </c>
      <c r="K55" s="3"/>
      <c r="L55" s="8">
        <f t="shared" si="14"/>
        <v>-5.23</v>
      </c>
      <c r="M55" s="3"/>
      <c r="N55" s="7">
        <f t="shared" si="15"/>
        <v>-0.24485018726591762</v>
      </c>
      <c r="O55" s="12"/>
      <c r="P55" s="8">
        <v>80.05</v>
      </c>
      <c r="Q55" s="3"/>
      <c r="R55" s="7">
        <f t="shared" si="16"/>
        <v>3.1010108675613468E-4</v>
      </c>
      <c r="S55" s="3"/>
      <c r="T55" s="8">
        <v>242.8</v>
      </c>
      <c r="U55" s="3"/>
      <c r="V55" s="7">
        <f t="shared" si="17"/>
        <v>1.3178575890956943E-3</v>
      </c>
      <c r="W55" s="3"/>
      <c r="X55" s="8">
        <f t="shared" si="18"/>
        <v>-162.75</v>
      </c>
      <c r="Y55" s="3"/>
      <c r="Z55" s="7">
        <f t="shared" si="19"/>
        <v>-0.67030477759472817</v>
      </c>
    </row>
    <row r="56" spans="1:26" s="69" customFormat="1" ht="15" hidden="1" customHeight="1" outlineLevel="2" x14ac:dyDescent="0.3">
      <c r="A56" s="26"/>
      <c r="B56" s="12" t="str">
        <f>CONCATENATE("          ","6115"," - ","P.E.R.S.")</f>
        <v xml:space="preserve">          6115 - P.E.R.S.</v>
      </c>
      <c r="C56" s="12"/>
      <c r="D56" s="8">
        <v>96.14</v>
      </c>
      <c r="E56" s="3"/>
      <c r="F56" s="7">
        <f t="shared" si="12"/>
        <v>3.5825518471345177E-3</v>
      </c>
      <c r="G56" s="3"/>
      <c r="H56" s="8">
        <v>344.01</v>
      </c>
      <c r="I56" s="3"/>
      <c r="J56" s="7">
        <f t="shared" si="13"/>
        <v>1.6725317018196035E-2</v>
      </c>
      <c r="K56" s="3"/>
      <c r="L56" s="8">
        <f t="shared" si="14"/>
        <v>-247.87</v>
      </c>
      <c r="M56" s="3"/>
      <c r="N56" s="7">
        <f t="shared" si="15"/>
        <v>-0.72053137990174709</v>
      </c>
      <c r="O56" s="12"/>
      <c r="P56" s="8">
        <v>773.5</v>
      </c>
      <c r="Q56" s="3"/>
      <c r="R56" s="7">
        <f t="shared" si="16"/>
        <v>2.9964171218722071E-3</v>
      </c>
      <c r="S56" s="3"/>
      <c r="T56" s="8">
        <v>3132.33</v>
      </c>
      <c r="U56" s="3"/>
      <c r="V56" s="7">
        <f t="shared" si="17"/>
        <v>1.7001502726738532E-2</v>
      </c>
      <c r="W56" s="3"/>
      <c r="X56" s="8">
        <f t="shared" si="18"/>
        <v>-2358.83</v>
      </c>
      <c r="Y56" s="3"/>
      <c r="Z56" s="7">
        <f t="shared" si="19"/>
        <v>-0.75305922428352057</v>
      </c>
    </row>
    <row r="57" spans="1:26" s="69" customFormat="1" ht="15" hidden="1" customHeight="1" outlineLevel="2" x14ac:dyDescent="0.3">
      <c r="A57" s="26"/>
      <c r="B57" s="12" t="str">
        <f>CONCATENATE("          ","6118"," - ","VACATION")</f>
        <v xml:space="preserve">          6118 - VACATION</v>
      </c>
      <c r="C57" s="12"/>
      <c r="D57" s="8">
        <v>251.67</v>
      </c>
      <c r="E57" s="3"/>
      <c r="F57" s="7">
        <f t="shared" si="12"/>
        <v>9.3782070248423551E-3</v>
      </c>
      <c r="G57" s="3"/>
      <c r="H57" s="8">
        <v>342.56</v>
      </c>
      <c r="I57" s="3"/>
      <c r="J57" s="7">
        <f t="shared" si="13"/>
        <v>1.665481991149453E-2</v>
      </c>
      <c r="K57" s="3"/>
      <c r="L57" s="8">
        <f t="shared" si="14"/>
        <v>-90.890000000000015</v>
      </c>
      <c r="M57" s="3"/>
      <c r="N57" s="7">
        <f t="shared" si="15"/>
        <v>-0.26532578234469878</v>
      </c>
      <c r="O57" s="12"/>
      <c r="P57" s="8">
        <v>970.95</v>
      </c>
      <c r="Q57" s="3"/>
      <c r="R57" s="7">
        <f t="shared" si="16"/>
        <v>3.761307310254453E-3</v>
      </c>
      <c r="S57" s="3"/>
      <c r="T57" s="8">
        <v>3927.06</v>
      </c>
      <c r="U57" s="3"/>
      <c r="V57" s="7">
        <f t="shared" si="17"/>
        <v>2.1315098121227914E-2</v>
      </c>
      <c r="W57" s="3"/>
      <c r="X57" s="8">
        <f t="shared" si="18"/>
        <v>-2956.1099999999997</v>
      </c>
      <c r="Y57" s="3"/>
      <c r="Z57" s="7">
        <f t="shared" si="19"/>
        <v>-0.75275396861774446</v>
      </c>
    </row>
    <row r="58" spans="1:26" s="69" customFormat="1" ht="15" hidden="1" customHeight="1" outlineLevel="2" x14ac:dyDescent="0.3">
      <c r="A58" s="26"/>
      <c r="B58" s="12" t="str">
        <f>CONCATENATE("          ","6119"," - ","SICK LEAVE")</f>
        <v xml:space="preserve">          6119 - SICK LEAVE</v>
      </c>
      <c r="C58" s="12"/>
      <c r="D58" s="8">
        <v>212.49</v>
      </c>
      <c r="E58" s="3"/>
      <c r="F58" s="7">
        <f t="shared" si="12"/>
        <v>7.9182072186146629E-3</v>
      </c>
      <c r="G58" s="3"/>
      <c r="H58" s="8">
        <v>216.08</v>
      </c>
      <c r="I58" s="3"/>
      <c r="J58" s="7">
        <f t="shared" si="13"/>
        <v>1.0505527459352343E-2</v>
      </c>
      <c r="K58" s="3"/>
      <c r="L58" s="8">
        <f t="shared" si="14"/>
        <v>-3.5900000000000034</v>
      </c>
      <c r="M58" s="3"/>
      <c r="N58" s="7">
        <f t="shared" si="15"/>
        <v>-1.6614216956682724E-2</v>
      </c>
      <c r="O58" s="12"/>
      <c r="P58" s="8">
        <v>692.85</v>
      </c>
      <c r="Q58" s="3"/>
      <c r="R58" s="7">
        <f t="shared" si="16"/>
        <v>2.6839917296563138E-3</v>
      </c>
      <c r="S58" s="3"/>
      <c r="T58" s="8">
        <v>3227.67</v>
      </c>
      <c r="U58" s="3"/>
      <c r="V58" s="7">
        <f t="shared" si="17"/>
        <v>1.7518984368189865E-2</v>
      </c>
      <c r="W58" s="3"/>
      <c r="X58" s="8">
        <f t="shared" si="18"/>
        <v>-2534.8200000000002</v>
      </c>
      <c r="Y58" s="3"/>
      <c r="Z58" s="7">
        <f t="shared" si="19"/>
        <v>-0.78534050878807315</v>
      </c>
    </row>
    <row r="59" spans="1:26" s="69" customFormat="1" ht="15" hidden="1" customHeight="1" outlineLevel="2" x14ac:dyDescent="0.3">
      <c r="A59" s="26"/>
      <c r="B59" s="12" t="str">
        <f>CONCATENATE("          ","6156"," - ","EMPLOYEE MEALS")</f>
        <v xml:space="preserve">          6156 - EMPLOYEE MEALS</v>
      </c>
      <c r="C59" s="12"/>
      <c r="D59" s="8">
        <v>151.91</v>
      </c>
      <c r="E59" s="3"/>
      <c r="F59" s="7">
        <f t="shared" si="12"/>
        <v>5.660759840838408E-3</v>
      </c>
      <c r="G59" s="3"/>
      <c r="H59" s="8">
        <v>93.55</v>
      </c>
      <c r="I59" s="3"/>
      <c r="J59" s="7">
        <f t="shared" si="13"/>
        <v>4.5482788496039039E-3</v>
      </c>
      <c r="K59" s="3"/>
      <c r="L59" s="8">
        <f t="shared" si="14"/>
        <v>58.36</v>
      </c>
      <c r="M59" s="3"/>
      <c r="N59" s="7">
        <f t="shared" si="15"/>
        <v>0.62383752004275794</v>
      </c>
      <c r="O59" s="12"/>
      <c r="P59" s="8">
        <v>1209.21</v>
      </c>
      <c r="Q59" s="3"/>
      <c r="R59" s="7">
        <f t="shared" si="16"/>
        <v>4.6842890083246174E-3</v>
      </c>
      <c r="S59" s="3"/>
      <c r="T59" s="8">
        <v>1222.72</v>
      </c>
      <c r="U59" s="3"/>
      <c r="V59" s="7">
        <f t="shared" si="17"/>
        <v>6.6366179214954173E-3</v>
      </c>
      <c r="W59" s="3"/>
      <c r="X59" s="8">
        <f t="shared" si="18"/>
        <v>-13.509999999999991</v>
      </c>
      <c r="Y59" s="3"/>
      <c r="Z59" s="7">
        <f t="shared" si="19"/>
        <v>-1.1049136351740374E-2</v>
      </c>
    </row>
    <row r="60" spans="1:26" s="68" customFormat="1" ht="15" customHeight="1" outlineLevel="1" collapsed="1" x14ac:dyDescent="0.3">
      <c r="A60" s="25"/>
      <c r="B60" s="14" t="str">
        <f>CONCATENATE("     ","*Payroll                                          ")</f>
        <v xml:space="preserve">     *Payroll                                          </v>
      </c>
      <c r="C60" s="14"/>
      <c r="D60" s="2">
        <f>SUM(OSRRefD22_1x_0)</f>
        <v>6150.3600000000006</v>
      </c>
      <c r="E60" s="2"/>
      <c r="F60" s="6">
        <f t="shared" si="12"/>
        <v>0.22918643206305653</v>
      </c>
      <c r="G60" s="2"/>
      <c r="H60" s="2">
        <f>SUM(OSRRefH22_1x_0)</f>
        <v>7815.2500000000009</v>
      </c>
      <c r="I60" s="2"/>
      <c r="J60" s="6">
        <f t="shared" si="13"/>
        <v>0.37996725044753515</v>
      </c>
      <c r="K60" s="2"/>
      <c r="L60" s="2">
        <f t="shared" si="14"/>
        <v>-1664.8900000000003</v>
      </c>
      <c r="M60" s="2"/>
      <c r="N60" s="6">
        <f t="shared" si="15"/>
        <v>-0.21303093311154475</v>
      </c>
      <c r="O60" s="14"/>
      <c r="P60" s="2">
        <f>SUM(OSRRefP22_1x_0)</f>
        <v>55703.25</v>
      </c>
      <c r="Q60" s="2"/>
      <c r="R60" s="6">
        <f t="shared" si="16"/>
        <v>0.21578561350216938</v>
      </c>
      <c r="S60" s="2"/>
      <c r="T60" s="2">
        <f>SUM(OSRRefT22_1x_0)</f>
        <v>65791.88</v>
      </c>
      <c r="U60" s="2"/>
      <c r="V60" s="6">
        <f t="shared" si="17"/>
        <v>0.35710184661809402</v>
      </c>
      <c r="W60" s="2"/>
      <c r="X60" s="2">
        <f t="shared" si="18"/>
        <v>-10088.630000000005</v>
      </c>
      <c r="Y60" s="2"/>
      <c r="Z60" s="6">
        <f t="shared" si="19"/>
        <v>-0.15334156737883162</v>
      </c>
    </row>
    <row r="61" spans="1:26" s="69" customFormat="1" ht="15" hidden="1" customHeight="1" outlineLevel="2" x14ac:dyDescent="0.3">
      <c r="A61" s="26"/>
      <c r="B61" s="12" t="str">
        <f>CONCATENATE("          ","6002"," - ","STAFF SALARIES")</f>
        <v xml:space="preserve">          6002 - STAFF SALARIES</v>
      </c>
      <c r="C61" s="12"/>
      <c r="D61" s="8">
        <v>1291.72</v>
      </c>
      <c r="E61" s="3"/>
      <c r="F61" s="7">
        <f t="shared" si="12"/>
        <v>4.8134531641154561E-2</v>
      </c>
      <c r="G61" s="3"/>
      <c r="H61" s="8">
        <v>4525.38</v>
      </c>
      <c r="I61" s="3"/>
      <c r="J61" s="7">
        <f t="shared" si="13"/>
        <v>0.22001806670679333</v>
      </c>
      <c r="K61" s="3"/>
      <c r="L61" s="8">
        <f t="shared" si="14"/>
        <v>-3233.66</v>
      </c>
      <c r="M61" s="3"/>
      <c r="N61" s="7">
        <f t="shared" si="15"/>
        <v>-0.71456098714362104</v>
      </c>
      <c r="O61" s="12"/>
      <c r="P61" s="8">
        <v>9864.09</v>
      </c>
      <c r="Q61" s="3"/>
      <c r="R61" s="7">
        <f t="shared" si="16"/>
        <v>3.8211930404251346E-2</v>
      </c>
      <c r="S61" s="3"/>
      <c r="T61" s="8">
        <v>38095.26</v>
      </c>
      <c r="U61" s="3"/>
      <c r="V61" s="7">
        <f t="shared" si="17"/>
        <v>0.20677153006414184</v>
      </c>
      <c r="W61" s="3"/>
      <c r="X61" s="8">
        <f t="shared" si="18"/>
        <v>-28231.170000000002</v>
      </c>
      <c r="Y61" s="3"/>
      <c r="Z61" s="7">
        <f t="shared" si="19"/>
        <v>-0.74106778638602289</v>
      </c>
    </row>
    <row r="62" spans="1:26" s="69" customFormat="1" ht="15" hidden="1" customHeight="1" outlineLevel="2" x14ac:dyDescent="0.3">
      <c r="A62" s="26"/>
      <c r="B62" s="12" t="str">
        <f>CONCATENATE("          ","6004"," - ","STAFF HOURLY")</f>
        <v xml:space="preserve">          6004 - STAFF HOURLY</v>
      </c>
      <c r="C62" s="12"/>
      <c r="D62" s="8"/>
      <c r="E62" s="3"/>
      <c r="F62" s="7">
        <f t="shared" si="12"/>
        <v>0</v>
      </c>
      <c r="G62" s="3"/>
      <c r="H62" s="8"/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>
        <v>4272.3900000000003</v>
      </c>
      <c r="Q62" s="3"/>
      <c r="R62" s="7">
        <f t="shared" si="16"/>
        <v>1.6550565672030511E-2</v>
      </c>
      <c r="S62" s="3"/>
      <c r="T62" s="8">
        <v>3456.21</v>
      </c>
      <c r="U62" s="3"/>
      <c r="V62" s="7">
        <f t="shared" si="17"/>
        <v>1.8759442248799132E-2</v>
      </c>
      <c r="W62" s="3"/>
      <c r="X62" s="8">
        <f t="shared" si="18"/>
        <v>816.18000000000029</v>
      </c>
      <c r="Y62" s="3"/>
      <c r="Z62" s="7">
        <f t="shared" si="19"/>
        <v>0.23614884512225828</v>
      </c>
    </row>
    <row r="63" spans="1:26" s="69" customFormat="1" ht="15" hidden="1" customHeight="1" outlineLevel="2" x14ac:dyDescent="0.3">
      <c r="A63" s="26"/>
      <c r="B63" s="12" t="str">
        <f>CONCATENATE("          ","6005"," - ","TEMPORARY WAGES-HOURLY")</f>
        <v xml:space="preserve">          6005 - TEMPORARY WAGES-HOURLY</v>
      </c>
      <c r="C63" s="12"/>
      <c r="D63" s="8">
        <v>268</v>
      </c>
      <c r="E63" s="3"/>
      <c r="F63" s="7">
        <f t="shared" si="12"/>
        <v>9.9867265969632909E-3</v>
      </c>
      <c r="G63" s="3"/>
      <c r="H63" s="8">
        <v>1718.15</v>
      </c>
      <c r="I63" s="3"/>
      <c r="J63" s="7">
        <f t="shared" si="13"/>
        <v>8.3534209571854062E-2</v>
      </c>
      <c r="K63" s="3"/>
      <c r="L63" s="8">
        <f t="shared" si="14"/>
        <v>-1450.15</v>
      </c>
      <c r="M63" s="3"/>
      <c r="N63" s="7">
        <f t="shared" si="15"/>
        <v>-0.84401827547070973</v>
      </c>
      <c r="O63" s="12"/>
      <c r="P63" s="8">
        <v>5134.08</v>
      </c>
      <c r="Q63" s="3"/>
      <c r="R63" s="7">
        <f t="shared" si="16"/>
        <v>1.9888616958062908E-2</v>
      </c>
      <c r="S63" s="3"/>
      <c r="T63" s="8">
        <v>11608.8</v>
      </c>
      <c r="U63" s="3"/>
      <c r="V63" s="7">
        <f t="shared" si="17"/>
        <v>6.3009658897422133E-2</v>
      </c>
      <c r="W63" s="3"/>
      <c r="X63" s="8">
        <f t="shared" si="18"/>
        <v>-6474.7199999999993</v>
      </c>
      <c r="Y63" s="3"/>
      <c r="Z63" s="7">
        <f t="shared" si="19"/>
        <v>-0.55774240231548478</v>
      </c>
    </row>
    <row r="64" spans="1:26" s="69" customFormat="1" ht="15" hidden="1" customHeight="1" outlineLevel="2" x14ac:dyDescent="0.3">
      <c r="A64" s="26"/>
      <c r="B64" s="12" t="str">
        <f>CONCATENATE("          ","6006"," - ","TEMPORARY PART TIME")</f>
        <v xml:space="preserve">          6006 - TEMPORARY PART TIME</v>
      </c>
      <c r="C64" s="12"/>
      <c r="D64" s="8"/>
      <c r="E64" s="3"/>
      <c r="F64" s="7">
        <f t="shared" si="12"/>
        <v>0</v>
      </c>
      <c r="G64" s="3"/>
      <c r="H64" s="8">
        <v>303.64</v>
      </c>
      <c r="I64" s="3"/>
      <c r="J64" s="7">
        <f t="shared" si="13"/>
        <v>1.4762580330237619E-2</v>
      </c>
      <c r="K64" s="3"/>
      <c r="L64" s="8">
        <f t="shared" si="14"/>
        <v>-303.64</v>
      </c>
      <c r="M64" s="3"/>
      <c r="N64" s="7">
        <f t="shared" si="15"/>
        <v>-1</v>
      </c>
      <c r="O64" s="12"/>
      <c r="P64" s="8"/>
      <c r="Q64" s="3"/>
      <c r="R64" s="7">
        <f t="shared" si="16"/>
        <v>0</v>
      </c>
      <c r="S64" s="3"/>
      <c r="T64" s="8">
        <v>303.64</v>
      </c>
      <c r="U64" s="3"/>
      <c r="V64" s="7">
        <f t="shared" si="17"/>
        <v>1.6480818713056696E-3</v>
      </c>
      <c r="W64" s="3"/>
      <c r="X64" s="8">
        <f t="shared" si="18"/>
        <v>-303.64</v>
      </c>
      <c r="Y64" s="3"/>
      <c r="Z64" s="7">
        <f t="shared" si="19"/>
        <v>-1</v>
      </c>
    </row>
    <row r="65" spans="1:26" s="69" customFormat="1" ht="15" hidden="1" customHeight="1" outlineLevel="2" x14ac:dyDescent="0.3">
      <c r="A65" s="26"/>
      <c r="B65" s="12" t="str">
        <f>CONCATENATE("          ","6007"," - ","STUDENT HOURLY")</f>
        <v xml:space="preserve">          6007 - STUDENT HOURLY</v>
      </c>
      <c r="C65" s="12"/>
      <c r="D65" s="8">
        <v>4590.6400000000003</v>
      </c>
      <c r="E65" s="3"/>
      <c r="F65" s="7">
        <f t="shared" si="12"/>
        <v>0.17106517382493866</v>
      </c>
      <c r="G65" s="3"/>
      <c r="H65" s="8">
        <v>1268.08</v>
      </c>
      <c r="I65" s="3"/>
      <c r="J65" s="7">
        <f t="shared" si="13"/>
        <v>6.1652393838650114E-2</v>
      </c>
      <c r="K65" s="3"/>
      <c r="L65" s="8">
        <f t="shared" si="14"/>
        <v>3322.5600000000004</v>
      </c>
      <c r="M65" s="3"/>
      <c r="N65" s="7">
        <f t="shared" si="15"/>
        <v>2.6201501482556311</v>
      </c>
      <c r="O65" s="12"/>
      <c r="P65" s="8">
        <v>35434.82</v>
      </c>
      <c r="Q65" s="3"/>
      <c r="R65" s="7">
        <f t="shared" si="16"/>
        <v>0.13726890931927566</v>
      </c>
      <c r="S65" s="3"/>
      <c r="T65" s="8">
        <v>10408.94</v>
      </c>
      <c r="U65" s="3"/>
      <c r="V65" s="7">
        <f t="shared" si="17"/>
        <v>5.6497119330484916E-2</v>
      </c>
      <c r="W65" s="3"/>
      <c r="X65" s="8">
        <f t="shared" si="18"/>
        <v>25025.879999999997</v>
      </c>
      <c r="Y65" s="3"/>
      <c r="Z65" s="7">
        <f t="shared" si="19"/>
        <v>2.4042678697350541</v>
      </c>
    </row>
    <row r="66" spans="1:26" s="69" customFormat="1" ht="15" hidden="1" customHeight="1" outlineLevel="2" x14ac:dyDescent="0.3">
      <c r="A66" s="26"/>
      <c r="B66" s="12" t="str">
        <f>CONCATENATE("          ","6008"," - ","STUDENT HOURLY-FICA EXEMPT")</f>
        <v xml:space="preserve">          6008 - STUDENT HOURLY-FICA EXEMPT</v>
      </c>
      <c r="C66" s="12"/>
      <c r="D66" s="8"/>
      <c r="E66" s="3"/>
      <c r="F66" s="7">
        <f t="shared" si="12"/>
        <v>0</v>
      </c>
      <c r="G66" s="3"/>
      <c r="H66" s="8"/>
      <c r="I66" s="3"/>
      <c r="J66" s="7">
        <f t="shared" si="13"/>
        <v>0</v>
      </c>
      <c r="K66" s="3"/>
      <c r="L66" s="8">
        <f t="shared" si="14"/>
        <v>0</v>
      </c>
      <c r="M66" s="3"/>
      <c r="N66" s="7">
        <f t="shared" si="15"/>
        <v>0</v>
      </c>
      <c r="O66" s="12"/>
      <c r="P66" s="8">
        <v>997.87</v>
      </c>
      <c r="Q66" s="3"/>
      <c r="R66" s="7">
        <f t="shared" si="16"/>
        <v>3.8655911485489581E-3</v>
      </c>
      <c r="S66" s="3"/>
      <c r="T66" s="8">
        <v>1919.03</v>
      </c>
      <c r="U66" s="3"/>
      <c r="V66" s="7">
        <f t="shared" si="17"/>
        <v>1.0416014205940322E-2</v>
      </c>
      <c r="W66" s="3"/>
      <c r="X66" s="8">
        <f t="shared" si="18"/>
        <v>-921.16</v>
      </c>
      <c r="Y66" s="3"/>
      <c r="Z66" s="7">
        <f t="shared" si="19"/>
        <v>-0.48001334007284929</v>
      </c>
    </row>
    <row r="67" spans="1:26" s="68" customFormat="1" ht="15" customHeight="1" outlineLevel="1" collapsed="1" x14ac:dyDescent="0.3">
      <c r="A67" s="25"/>
      <c r="B67" s="14" t="str">
        <f>CONCATENATE("     ","Advertising/Promo                                 ")</f>
        <v xml:space="preserve">     Advertising/Promo                                 </v>
      </c>
      <c r="C67" s="14"/>
      <c r="D67" s="2">
        <f>SUM(OSRRefD22_2x_0)</f>
        <v>0</v>
      </c>
      <c r="E67" s="2"/>
      <c r="F67" s="6">
        <f t="shared" si="12"/>
        <v>0</v>
      </c>
      <c r="G67" s="2"/>
      <c r="H67" s="2">
        <f>SUM(OSRRefH22_2x_0)</f>
        <v>0</v>
      </c>
      <c r="I67" s="2"/>
      <c r="J67" s="6">
        <f t="shared" si="13"/>
        <v>0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SUM(OSRRefP22_2x_0)</f>
        <v>1419.35</v>
      </c>
      <c r="Q67" s="2"/>
      <c r="R67" s="6">
        <f t="shared" si="16"/>
        <v>5.4983382571807586E-3</v>
      </c>
      <c r="S67" s="2"/>
      <c r="T67" s="2">
        <f>SUM(OSRRefT22_2x_0)</f>
        <v>1024.2</v>
      </c>
      <c r="U67" s="2"/>
      <c r="V67" s="6">
        <f t="shared" si="17"/>
        <v>5.559101082173847E-3</v>
      </c>
      <c r="W67" s="2"/>
      <c r="X67" s="2">
        <f t="shared" si="18"/>
        <v>395.14999999999986</v>
      </c>
      <c r="Y67" s="2"/>
      <c r="Z67" s="6">
        <f t="shared" si="19"/>
        <v>0.38581331771138433</v>
      </c>
    </row>
    <row r="68" spans="1:26" s="69" customFormat="1" ht="15" hidden="1" customHeight="1" outlineLevel="2" x14ac:dyDescent="0.3">
      <c r="A68" s="26"/>
      <c r="B68" s="12" t="str">
        <f>CONCATENATE("          ","6362"," - ","ADVERTISING EXPENSE")</f>
        <v xml:space="preserve">          6362 - ADVERTISING EXPENSE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>
        <v>1419.35</v>
      </c>
      <c r="Q68" s="3"/>
      <c r="R68" s="7">
        <f t="shared" si="16"/>
        <v>5.4983382571807586E-3</v>
      </c>
      <c r="S68" s="3"/>
      <c r="T68" s="8">
        <v>1024.2</v>
      </c>
      <c r="U68" s="3"/>
      <c r="V68" s="7">
        <f t="shared" si="17"/>
        <v>5.559101082173847E-3</v>
      </c>
      <c r="W68" s="3"/>
      <c r="X68" s="8">
        <f t="shared" si="18"/>
        <v>395.14999999999986</v>
      </c>
      <c r="Y68" s="3"/>
      <c r="Z68" s="7">
        <f t="shared" si="19"/>
        <v>0.38581331771138433</v>
      </c>
    </row>
    <row r="69" spans="1:26" s="68" customFormat="1" ht="15" customHeight="1" outlineLevel="1" collapsed="1" x14ac:dyDescent="0.3">
      <c r="A69" s="25"/>
      <c r="B69" s="14" t="str">
        <f>CONCATENATE("     ","Bad Debts/Over/Short                              ")</f>
        <v xml:space="preserve">     Bad Debts/Over/Short                              </v>
      </c>
      <c r="C69" s="14"/>
      <c r="D69" s="2">
        <f>SUM(OSRRefD22_3x_0)</f>
        <v>-20.02</v>
      </c>
      <c r="E69" s="2"/>
      <c r="F69" s="6">
        <f t="shared" si="12"/>
        <v>-7.460233823552428E-4</v>
      </c>
      <c r="G69" s="2"/>
      <c r="H69" s="2">
        <f>SUM(OSRRefH22_3x_0)</f>
        <v>-1.1499999999999999</v>
      </c>
      <c r="I69" s="2"/>
      <c r="J69" s="6">
        <f t="shared" si="13"/>
        <v>-5.5911498418433879E-5</v>
      </c>
      <c r="K69" s="2"/>
      <c r="L69" s="2">
        <f t="shared" si="14"/>
        <v>-18.87</v>
      </c>
      <c r="M69" s="2"/>
      <c r="N69" s="6">
        <f t="shared" si="15"/>
        <v>16.408695652173915</v>
      </c>
      <c r="O69" s="14"/>
      <c r="P69" s="2">
        <f>SUM(OSRRefP22_3x_0)</f>
        <v>-33.4</v>
      </c>
      <c r="Q69" s="2"/>
      <c r="R69" s="6">
        <f t="shared" si="16"/>
        <v>-1.2938633725989877E-4</v>
      </c>
      <c r="S69" s="2"/>
      <c r="T69" s="2">
        <f>SUM(OSRRefT22_3x_0)</f>
        <v>-2.95</v>
      </c>
      <c r="U69" s="2"/>
      <c r="V69" s="6">
        <f t="shared" si="17"/>
        <v>-1.6011861152521823E-5</v>
      </c>
      <c r="W69" s="2"/>
      <c r="X69" s="2">
        <f t="shared" si="18"/>
        <v>-30.45</v>
      </c>
      <c r="Y69" s="2"/>
      <c r="Z69" s="6">
        <f t="shared" si="19"/>
        <v>10.322033898305083</v>
      </c>
    </row>
    <row r="70" spans="1:26" s="69" customFormat="1" ht="15" hidden="1" customHeight="1" outlineLevel="2" x14ac:dyDescent="0.3">
      <c r="A70" s="26"/>
      <c r="B70" s="12" t="str">
        <f>CONCATENATE("          ","6272"," - ","CASH (OVER/SHORT)")</f>
        <v xml:space="preserve">          6272 - CASH (OVER/SHORT)</v>
      </c>
      <c r="C70" s="12"/>
      <c r="D70" s="8">
        <v>-20.02</v>
      </c>
      <c r="E70" s="3"/>
      <c r="F70" s="7">
        <f t="shared" si="12"/>
        <v>-7.460233823552428E-4</v>
      </c>
      <c r="G70" s="3"/>
      <c r="H70" s="8">
        <v>-1.1499999999999999</v>
      </c>
      <c r="I70" s="3"/>
      <c r="J70" s="7">
        <f t="shared" si="13"/>
        <v>-5.5911498418433879E-5</v>
      </c>
      <c r="K70" s="3"/>
      <c r="L70" s="8">
        <f t="shared" si="14"/>
        <v>-18.87</v>
      </c>
      <c r="M70" s="3"/>
      <c r="N70" s="7">
        <f t="shared" si="15"/>
        <v>16.408695652173915</v>
      </c>
      <c r="O70" s="12"/>
      <c r="P70" s="8">
        <v>-33.4</v>
      </c>
      <c r="Q70" s="3"/>
      <c r="R70" s="7">
        <f t="shared" si="16"/>
        <v>-1.2938633725989877E-4</v>
      </c>
      <c r="S70" s="3"/>
      <c r="T70" s="8">
        <v>-2.95</v>
      </c>
      <c r="U70" s="3"/>
      <c r="V70" s="7">
        <f t="shared" si="17"/>
        <v>-1.6011861152521823E-5</v>
      </c>
      <c r="W70" s="3"/>
      <c r="X70" s="8">
        <f t="shared" si="18"/>
        <v>-30.45</v>
      </c>
      <c r="Y70" s="3"/>
      <c r="Z70" s="7">
        <f t="shared" si="19"/>
        <v>10.322033898305083</v>
      </c>
    </row>
    <row r="71" spans="1:26" s="68" customFormat="1" ht="15" customHeight="1" outlineLevel="1" collapsed="1" x14ac:dyDescent="0.3">
      <c r="A71" s="25"/>
      <c r="B71" s="14" t="str">
        <f>CONCATENATE("     ","Bank/card Fees                                    ")</f>
        <v xml:space="preserve">     Bank/card Fees                                    </v>
      </c>
      <c r="C71" s="14"/>
      <c r="D71" s="2">
        <f>SUM(OSRRefD22_4x_0)</f>
        <v>452.13</v>
      </c>
      <c r="E71" s="2"/>
      <c r="F71" s="6">
        <f t="shared" si="12"/>
        <v>1.6848129463750045E-2</v>
      </c>
      <c r="G71" s="2"/>
      <c r="H71" s="2">
        <f>SUM(OSRRefH22_4x_0)</f>
        <v>308.72000000000003</v>
      </c>
      <c r="I71" s="2"/>
      <c r="J71" s="6">
        <f t="shared" si="13"/>
        <v>1.5009563297164269E-2</v>
      </c>
      <c r="K71" s="2"/>
      <c r="L71" s="2">
        <f t="shared" si="14"/>
        <v>143.40999999999997</v>
      </c>
      <c r="M71" s="2"/>
      <c r="N71" s="6">
        <f t="shared" si="15"/>
        <v>0.46453096657165055</v>
      </c>
      <c r="O71" s="14"/>
      <c r="P71" s="2">
        <f>SUM(OSRRefP22_4x_0)</f>
        <v>4266.21</v>
      </c>
      <c r="Q71" s="2"/>
      <c r="R71" s="6">
        <f t="shared" si="16"/>
        <v>1.6526625325794995E-2</v>
      </c>
      <c r="S71" s="2"/>
      <c r="T71" s="2">
        <f>SUM(OSRRefT22_4x_0)</f>
        <v>2867.73</v>
      </c>
      <c r="U71" s="2"/>
      <c r="V71" s="6">
        <f t="shared" si="17"/>
        <v>1.5565320197600475E-2</v>
      </c>
      <c r="W71" s="2"/>
      <c r="X71" s="2">
        <f t="shared" si="18"/>
        <v>1398.48</v>
      </c>
      <c r="Y71" s="2"/>
      <c r="Z71" s="6">
        <f t="shared" si="19"/>
        <v>0.48766097226726368</v>
      </c>
    </row>
    <row r="72" spans="1:26" s="69" customFormat="1" ht="15" hidden="1" customHeight="1" outlineLevel="2" x14ac:dyDescent="0.3">
      <c r="A72" s="26"/>
      <c r="B72" s="12" t="str">
        <f>CONCATENATE("          ","6381"," - ","BANK/CREDIT CARD FEES")</f>
        <v xml:space="preserve">          6381 - BANK/CREDIT CARD FEES</v>
      </c>
      <c r="C72" s="12"/>
      <c r="D72" s="8">
        <v>452.13</v>
      </c>
      <c r="E72" s="3"/>
      <c r="F72" s="7">
        <f t="shared" si="12"/>
        <v>1.6848129463750045E-2</v>
      </c>
      <c r="G72" s="3"/>
      <c r="H72" s="8">
        <v>308.72000000000003</v>
      </c>
      <c r="I72" s="3"/>
      <c r="J72" s="7">
        <f t="shared" si="13"/>
        <v>1.5009563297164269E-2</v>
      </c>
      <c r="K72" s="3"/>
      <c r="L72" s="8">
        <f t="shared" si="14"/>
        <v>143.40999999999997</v>
      </c>
      <c r="M72" s="3"/>
      <c r="N72" s="7">
        <f t="shared" si="15"/>
        <v>0.46453096657165055</v>
      </c>
      <c r="O72" s="12"/>
      <c r="P72" s="8">
        <v>4266.21</v>
      </c>
      <c r="Q72" s="3"/>
      <c r="R72" s="7">
        <f t="shared" si="16"/>
        <v>1.6526625325794995E-2</v>
      </c>
      <c r="S72" s="3"/>
      <c r="T72" s="8">
        <v>2867.73</v>
      </c>
      <c r="U72" s="3"/>
      <c r="V72" s="7">
        <f t="shared" si="17"/>
        <v>1.5565320197600475E-2</v>
      </c>
      <c r="W72" s="3"/>
      <c r="X72" s="8">
        <f t="shared" si="18"/>
        <v>1398.48</v>
      </c>
      <c r="Y72" s="3"/>
      <c r="Z72" s="7">
        <f t="shared" si="19"/>
        <v>0.48766097226726368</v>
      </c>
    </row>
    <row r="73" spans="1:26" s="68" customFormat="1" ht="15" customHeight="1" outlineLevel="1" collapsed="1" x14ac:dyDescent="0.3">
      <c r="A73" s="25"/>
      <c r="B73" s="14" t="str">
        <f>CONCATENATE("     ","Discounts and Markdowns                           ")</f>
        <v xml:space="preserve">     Discounts and Markdowns                           </v>
      </c>
      <c r="C73" s="14"/>
      <c r="D73" s="2">
        <f>SUM(OSRRefD22_5x_0)</f>
        <v>0</v>
      </c>
      <c r="E73" s="2"/>
      <c r="F73" s="6">
        <f t="shared" si="12"/>
        <v>0</v>
      </c>
      <c r="G73" s="2"/>
      <c r="H73" s="2">
        <f>SUM(OSRRefH22_5x_0)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SUM(OSRRefP22_5x_0)</f>
        <v>0</v>
      </c>
      <c r="Q73" s="2"/>
      <c r="R73" s="6">
        <f t="shared" si="16"/>
        <v>0</v>
      </c>
      <c r="S73" s="2"/>
      <c r="T73" s="2">
        <f>SUM(OSRRefT22_5x_0)</f>
        <v>0</v>
      </c>
      <c r="U73" s="2"/>
      <c r="V73" s="6">
        <f t="shared" si="17"/>
        <v>0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","6382"," - ","DISCOUNTS/MARK DOWNS")</f>
        <v xml:space="preserve">          6382 - DISCOUNTS/MARK DOWNS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","General                                           ")</f>
        <v xml:space="preserve">     General                                           </v>
      </c>
      <c r="C75" s="14"/>
      <c r="D75" s="2">
        <f>SUM(OSRRefD22_6x_0)</f>
        <v>0</v>
      </c>
      <c r="E75" s="2"/>
      <c r="F75" s="6">
        <f t="shared" si="12"/>
        <v>0</v>
      </c>
      <c r="G75" s="2"/>
      <c r="H75" s="2">
        <f>SUM(OSRRefH22_6x_0)</f>
        <v>0</v>
      </c>
      <c r="I75" s="2"/>
      <c r="J75" s="6">
        <f t="shared" si="13"/>
        <v>0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SUM(OSRRefP22_6x_0)</f>
        <v>1295.0899999999999</v>
      </c>
      <c r="Q75" s="2"/>
      <c r="R75" s="6">
        <f t="shared" si="16"/>
        <v>5.01697459646474E-3</v>
      </c>
      <c r="S75" s="2"/>
      <c r="T75" s="2">
        <f>SUM(OSRRefT22_6x_0)</f>
        <v>1285.46</v>
      </c>
      <c r="U75" s="2"/>
      <c r="V75" s="6">
        <f t="shared" si="17"/>
        <v>6.9771549278375257E-3</v>
      </c>
      <c r="W75" s="2"/>
      <c r="X75" s="2">
        <f t="shared" si="18"/>
        <v>9.6299999999998818</v>
      </c>
      <c r="Y75" s="2"/>
      <c r="Z75" s="6">
        <f t="shared" si="19"/>
        <v>7.4914816485926296E-3</v>
      </c>
    </row>
    <row r="76" spans="1:26" s="69" customFormat="1" ht="15" hidden="1" customHeight="1" outlineLevel="2" x14ac:dyDescent="0.3">
      <c r="A76" s="26"/>
      <c r="B76" s="12" t="str">
        <f>CONCATENATE("          ","6279"," - ","GENERAL EXPENSE")</f>
        <v xml:space="preserve">          6279 - GENERAL EXPENSE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1295.0899999999999</v>
      </c>
      <c r="Q76" s="3"/>
      <c r="R76" s="7">
        <f t="shared" si="16"/>
        <v>5.01697459646474E-3</v>
      </c>
      <c r="S76" s="3"/>
      <c r="T76" s="8">
        <v>1285.46</v>
      </c>
      <c r="U76" s="3"/>
      <c r="V76" s="7">
        <f t="shared" si="17"/>
        <v>6.9771549278375257E-3</v>
      </c>
      <c r="W76" s="3"/>
      <c r="X76" s="8">
        <f t="shared" si="18"/>
        <v>9.6299999999998818</v>
      </c>
      <c r="Y76" s="3"/>
      <c r="Z76" s="7">
        <f t="shared" si="19"/>
        <v>7.4914816485926296E-3</v>
      </c>
    </row>
    <row r="77" spans="1:26" s="68" customFormat="1" ht="15" customHeight="1" outlineLevel="1" collapsed="1" x14ac:dyDescent="0.3">
      <c r="A77" s="25"/>
      <c r="B77" s="14" t="str">
        <f>CONCATENATE("     ","Insurance                                         ")</f>
        <v xml:space="preserve">     Insurance                                         </v>
      </c>
      <c r="C77" s="14"/>
      <c r="D77" s="2">
        <f>SUM(OSRRefD22_7x_0)</f>
        <v>219.08</v>
      </c>
      <c r="E77" s="2"/>
      <c r="F77" s="6">
        <f t="shared" si="12"/>
        <v>8.163776353965365E-3</v>
      </c>
      <c r="G77" s="2"/>
      <c r="H77" s="2">
        <f>SUM(OSRRefH22_7x_0)</f>
        <v>161.18</v>
      </c>
      <c r="I77" s="2"/>
      <c r="J77" s="6">
        <f t="shared" si="13"/>
        <v>7.8363611435505864E-3</v>
      </c>
      <c r="K77" s="2"/>
      <c r="L77" s="2">
        <f t="shared" si="14"/>
        <v>57.900000000000006</v>
      </c>
      <c r="M77" s="2"/>
      <c r="N77" s="6">
        <f t="shared" si="15"/>
        <v>0.35922571038590395</v>
      </c>
      <c r="O77" s="14"/>
      <c r="P77" s="2">
        <f>SUM(OSRRefP22_7x_0)</f>
        <v>1752.64</v>
      </c>
      <c r="Q77" s="2"/>
      <c r="R77" s="6">
        <f t="shared" si="16"/>
        <v>6.789451201652366E-3</v>
      </c>
      <c r="S77" s="2"/>
      <c r="T77" s="2">
        <f>SUM(OSRRefT22_7x_0)</f>
        <v>1289.44</v>
      </c>
      <c r="U77" s="2"/>
      <c r="V77" s="6">
        <f t="shared" si="17"/>
        <v>6.9987573710195723E-3</v>
      </c>
      <c r="W77" s="2"/>
      <c r="X77" s="2">
        <f t="shared" si="18"/>
        <v>463.20000000000005</v>
      </c>
      <c r="Y77" s="2"/>
      <c r="Z77" s="6">
        <f t="shared" si="19"/>
        <v>0.35922571038590395</v>
      </c>
    </row>
    <row r="78" spans="1:26" s="69" customFormat="1" ht="15" hidden="1" customHeight="1" outlineLevel="2" x14ac:dyDescent="0.3">
      <c r="A78" s="26"/>
      <c r="B78" s="12" t="str">
        <f>CONCATENATE("          ","6314"," - ","LIABILITY INSURANCE")</f>
        <v xml:space="preserve">          6314 - LIABILITY INSURANCE</v>
      </c>
      <c r="C78" s="12"/>
      <c r="D78" s="8">
        <v>219.08</v>
      </c>
      <c r="E78" s="3"/>
      <c r="F78" s="7">
        <f t="shared" si="12"/>
        <v>8.163776353965365E-3</v>
      </c>
      <c r="G78" s="3"/>
      <c r="H78" s="8">
        <v>161.18</v>
      </c>
      <c r="I78" s="3"/>
      <c r="J78" s="7">
        <f t="shared" si="13"/>
        <v>7.8363611435505864E-3</v>
      </c>
      <c r="K78" s="3"/>
      <c r="L78" s="8">
        <f t="shared" si="14"/>
        <v>57.900000000000006</v>
      </c>
      <c r="M78" s="3"/>
      <c r="N78" s="7">
        <f t="shared" si="15"/>
        <v>0.35922571038590395</v>
      </c>
      <c r="O78" s="12"/>
      <c r="P78" s="8">
        <v>1752.64</v>
      </c>
      <c r="Q78" s="3"/>
      <c r="R78" s="7">
        <f t="shared" si="16"/>
        <v>6.789451201652366E-3</v>
      </c>
      <c r="S78" s="3"/>
      <c r="T78" s="8">
        <v>1289.44</v>
      </c>
      <c r="U78" s="3"/>
      <c r="V78" s="7">
        <f t="shared" si="17"/>
        <v>6.9987573710195723E-3</v>
      </c>
      <c r="W78" s="3"/>
      <c r="X78" s="8">
        <f t="shared" si="18"/>
        <v>463.20000000000005</v>
      </c>
      <c r="Y78" s="3"/>
      <c r="Z78" s="7">
        <f t="shared" si="19"/>
        <v>0.35922571038590395</v>
      </c>
    </row>
    <row r="79" spans="1:26" s="68" customFormat="1" ht="15" customHeight="1" outlineLevel="1" collapsed="1" x14ac:dyDescent="0.3">
      <c r="A79" s="25"/>
      <c r="B79" s="14" t="str">
        <f>CONCATENATE("     ","Inventory Adjustment                              ")</f>
        <v xml:space="preserve">     Inventory Adjustment                              </v>
      </c>
      <c r="C79" s="14"/>
      <c r="D79" s="2">
        <f>SUM(OSRRefD22_8x_0)</f>
        <v>100</v>
      </c>
      <c r="E79" s="2"/>
      <c r="F79" s="6">
        <f t="shared" si="12"/>
        <v>3.7263905212549589E-3</v>
      </c>
      <c r="G79" s="2"/>
      <c r="H79" s="2">
        <f>SUM(OSRRefH22_8x_0)</f>
        <v>100</v>
      </c>
      <c r="I79" s="2"/>
      <c r="J79" s="6">
        <f t="shared" si="13"/>
        <v>4.861869427689903E-3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SUM(OSRRefP22_8x_0)</f>
        <v>800</v>
      </c>
      <c r="Q79" s="2"/>
      <c r="R79" s="6">
        <f t="shared" si="16"/>
        <v>3.0990739463448813E-3</v>
      </c>
      <c r="S79" s="2"/>
      <c r="T79" s="2">
        <f>SUM(OSRRefT22_8x_0)</f>
        <v>800</v>
      </c>
      <c r="U79" s="2"/>
      <c r="V79" s="6">
        <f t="shared" si="17"/>
        <v>4.3421996345821886E-3</v>
      </c>
      <c r="W79" s="2"/>
      <c r="X79" s="2">
        <f t="shared" si="18"/>
        <v>0</v>
      </c>
      <c r="Y79" s="2"/>
      <c r="Z79" s="6">
        <f t="shared" si="19"/>
        <v>0</v>
      </c>
    </row>
    <row r="80" spans="1:26" s="69" customFormat="1" ht="15" hidden="1" customHeight="1" outlineLevel="2" x14ac:dyDescent="0.3">
      <c r="A80" s="26"/>
      <c r="B80" s="12" t="str">
        <f>CONCATENATE("          ","6408"," - ","INVENTORY ADJUSTMENT")</f>
        <v xml:space="preserve">          6408 - INVENTORY ADJUSTMENT</v>
      </c>
      <c r="C80" s="12"/>
      <c r="D80" s="8">
        <v>100</v>
      </c>
      <c r="E80" s="3"/>
      <c r="F80" s="7">
        <f t="shared" si="12"/>
        <v>3.7263905212549589E-3</v>
      </c>
      <c r="G80" s="3"/>
      <c r="H80" s="8">
        <v>100</v>
      </c>
      <c r="I80" s="3"/>
      <c r="J80" s="7">
        <f t="shared" si="13"/>
        <v>4.861869427689903E-3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800</v>
      </c>
      <c r="Q80" s="3"/>
      <c r="R80" s="7">
        <f t="shared" si="16"/>
        <v>3.0990739463448813E-3</v>
      </c>
      <c r="S80" s="3"/>
      <c r="T80" s="8">
        <v>800</v>
      </c>
      <c r="U80" s="3"/>
      <c r="V80" s="7">
        <f t="shared" si="17"/>
        <v>4.3421996345821886E-3</v>
      </c>
      <c r="W80" s="3"/>
      <c r="X80" s="8">
        <f t="shared" si="18"/>
        <v>0</v>
      </c>
      <c r="Y80" s="3"/>
      <c r="Z80" s="7">
        <f t="shared" si="19"/>
        <v>0</v>
      </c>
    </row>
    <row r="81" spans="1:26" s="68" customFormat="1" ht="15" customHeight="1" outlineLevel="1" collapsed="1" x14ac:dyDescent="0.3">
      <c r="A81" s="25"/>
      <c r="B81" s="14" t="str">
        <f>CONCATENATE("     ","Professional Services                             ")</f>
        <v xml:space="preserve">     Professional Services                             </v>
      </c>
      <c r="C81" s="14"/>
      <c r="D81" s="2">
        <f>SUM(OSRRefD22_9x_0)</f>
        <v>0</v>
      </c>
      <c r="E81" s="2"/>
      <c r="F81" s="6">
        <f t="shared" si="12"/>
        <v>0</v>
      </c>
      <c r="G81" s="2"/>
      <c r="H81" s="2">
        <f>SUM(OSRRefH22_9x_0)</f>
        <v>0</v>
      </c>
      <c r="I81" s="2"/>
      <c r="J81" s="6">
        <f t="shared" si="13"/>
        <v>0</v>
      </c>
      <c r="K81" s="2"/>
      <c r="L81" s="2">
        <f t="shared" si="14"/>
        <v>0</v>
      </c>
      <c r="M81" s="2"/>
      <c r="N81" s="6">
        <f t="shared" si="15"/>
        <v>0</v>
      </c>
      <c r="O81" s="14"/>
      <c r="P81" s="2">
        <f>SUM(OSRRefP22_9x_0)</f>
        <v>161.46</v>
      </c>
      <c r="Q81" s="2"/>
      <c r="R81" s="6">
        <f t="shared" si="16"/>
        <v>6.2547059922105563E-4</v>
      </c>
      <c r="S81" s="2"/>
      <c r="T81" s="2">
        <f>SUM(OSRRefT22_9x_0)</f>
        <v>0</v>
      </c>
      <c r="U81" s="2"/>
      <c r="V81" s="6">
        <f t="shared" si="17"/>
        <v>0</v>
      </c>
      <c r="W81" s="2"/>
      <c r="X81" s="2">
        <f t="shared" si="18"/>
        <v>161.46</v>
      </c>
      <c r="Y81" s="2"/>
      <c r="Z81" s="6">
        <f t="shared" si="19"/>
        <v>0</v>
      </c>
    </row>
    <row r="82" spans="1:26" s="69" customFormat="1" ht="15" hidden="1" customHeight="1" outlineLevel="2" x14ac:dyDescent="0.3">
      <c r="A82" s="26"/>
      <c r="B82" s="12" t="str">
        <f>CONCATENATE("          ","6336"," - ","PROFESSIONAL SERVICES")</f>
        <v xml:space="preserve">          6336 - PROFESSIONAL SERVICES</v>
      </c>
      <c r="C82" s="12"/>
      <c r="D82" s="8"/>
      <c r="E82" s="3"/>
      <c r="F82" s="7">
        <f t="shared" ref="F82:F106" si="20">IF(D$12=0,0,D82/D$12)</f>
        <v>0</v>
      </c>
      <c r="G82" s="3"/>
      <c r="H82" s="8"/>
      <c r="I82" s="3"/>
      <c r="J82" s="7">
        <f t="shared" ref="J82:J106" si="21">IF(H$12=0,0,H82/H$12)</f>
        <v>0</v>
      </c>
      <c r="K82" s="3"/>
      <c r="L82" s="8">
        <f t="shared" ref="L82:L106" si="22">+D82-H82</f>
        <v>0</v>
      </c>
      <c r="M82" s="3"/>
      <c r="N82" s="7">
        <f t="shared" ref="N82:N106" si="23">IF(H82=0,0,L82/H82)</f>
        <v>0</v>
      </c>
      <c r="O82" s="12"/>
      <c r="P82" s="8">
        <v>161.46</v>
      </c>
      <c r="Q82" s="3"/>
      <c r="R82" s="7">
        <f t="shared" ref="R82:R106" si="24">IF(P$12=0,0,P82/P$12)</f>
        <v>6.2547059922105563E-4</v>
      </c>
      <c r="S82" s="3"/>
      <c r="T82" s="8"/>
      <c r="U82" s="3"/>
      <c r="V82" s="7">
        <f t="shared" ref="V82:V106" si="25">IF(T$12=0,0,T82/T$12)</f>
        <v>0</v>
      </c>
      <c r="W82" s="3"/>
      <c r="X82" s="8">
        <f t="shared" ref="X82:X106" si="26">+P82-T82</f>
        <v>161.46</v>
      </c>
      <c r="Y82" s="3"/>
      <c r="Z82" s="7">
        <f t="shared" ref="Z82:Z106" si="27">IF(T82=0,0,X82/T82)</f>
        <v>0</v>
      </c>
    </row>
    <row r="83" spans="1:26" s="68" customFormat="1" ht="15" customHeight="1" outlineLevel="1" collapsed="1" x14ac:dyDescent="0.3">
      <c r="A83" s="25"/>
      <c r="B83" s="14" t="str">
        <f>CONCATENATE("     ","Rent                                              ")</f>
        <v xml:space="preserve">     Rent                                              </v>
      </c>
      <c r="C83" s="14"/>
      <c r="D83" s="2">
        <f>SUM(OSRRefD22_10x_0)</f>
        <v>6900</v>
      </c>
      <c r="E83" s="2"/>
      <c r="F83" s="6">
        <f t="shared" si="20"/>
        <v>0.25712094596659218</v>
      </c>
      <c r="G83" s="2"/>
      <c r="H83" s="2">
        <f>SUM(OSRRefH22_10x_0)</f>
        <v>6900</v>
      </c>
      <c r="I83" s="2"/>
      <c r="J83" s="6">
        <f t="shared" si="21"/>
        <v>0.3354689905106033</v>
      </c>
      <c r="K83" s="2"/>
      <c r="L83" s="2">
        <f t="shared" si="22"/>
        <v>0</v>
      </c>
      <c r="M83" s="2"/>
      <c r="N83" s="6">
        <f t="shared" si="23"/>
        <v>0</v>
      </c>
      <c r="O83" s="14"/>
      <c r="P83" s="2">
        <f>SUM(OSRRefP22_10x_0)</f>
        <v>55200</v>
      </c>
      <c r="Q83" s="2"/>
      <c r="R83" s="6">
        <f t="shared" si="24"/>
        <v>0.21383610229779679</v>
      </c>
      <c r="S83" s="2"/>
      <c r="T83" s="2">
        <f>SUM(OSRRefT22_10x_0)</f>
        <v>55200</v>
      </c>
      <c r="U83" s="2"/>
      <c r="V83" s="6">
        <f t="shared" si="25"/>
        <v>0.29961177478617101</v>
      </c>
      <c r="W83" s="2"/>
      <c r="X83" s="2">
        <f t="shared" si="26"/>
        <v>0</v>
      </c>
      <c r="Y83" s="2"/>
      <c r="Z83" s="6">
        <f t="shared" si="27"/>
        <v>0</v>
      </c>
    </row>
    <row r="84" spans="1:26" s="69" customFormat="1" ht="15" hidden="1" customHeight="1" outlineLevel="2" x14ac:dyDescent="0.3">
      <c r="A84" s="26"/>
      <c r="B84" s="12" t="str">
        <f>CONCATENATE("          ","6273"," - ","RENT")</f>
        <v xml:space="preserve">          6273 - RENT</v>
      </c>
      <c r="C84" s="12"/>
      <c r="D84" s="8">
        <v>6900</v>
      </c>
      <c r="E84" s="3"/>
      <c r="F84" s="7">
        <f t="shared" si="20"/>
        <v>0.25712094596659218</v>
      </c>
      <c r="G84" s="3"/>
      <c r="H84" s="8">
        <v>6900</v>
      </c>
      <c r="I84" s="3"/>
      <c r="J84" s="7">
        <f t="shared" si="21"/>
        <v>0.3354689905106033</v>
      </c>
      <c r="K84" s="3"/>
      <c r="L84" s="8">
        <f t="shared" si="22"/>
        <v>0</v>
      </c>
      <c r="M84" s="3"/>
      <c r="N84" s="7">
        <f t="shared" si="23"/>
        <v>0</v>
      </c>
      <c r="O84" s="12"/>
      <c r="P84" s="8">
        <v>55200</v>
      </c>
      <c r="Q84" s="3"/>
      <c r="R84" s="7">
        <f t="shared" si="24"/>
        <v>0.21383610229779679</v>
      </c>
      <c r="S84" s="3"/>
      <c r="T84" s="8">
        <v>55200</v>
      </c>
      <c r="U84" s="3"/>
      <c r="V84" s="7">
        <f t="shared" si="25"/>
        <v>0.29961177478617101</v>
      </c>
      <c r="W84" s="3"/>
      <c r="X84" s="8">
        <f t="shared" si="26"/>
        <v>0</v>
      </c>
      <c r="Y84" s="3"/>
      <c r="Z84" s="7">
        <f t="shared" si="27"/>
        <v>0</v>
      </c>
    </row>
    <row r="85" spans="1:26" s="68" customFormat="1" ht="15" customHeight="1" outlineLevel="1" collapsed="1" x14ac:dyDescent="0.3">
      <c r="A85" s="25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SUM(OSRRefD22_11x_0)</f>
        <v>0</v>
      </c>
      <c r="E85" s="2"/>
      <c r="F85" s="6">
        <f t="shared" si="20"/>
        <v>0</v>
      </c>
      <c r="G85" s="2"/>
      <c r="H85" s="2">
        <f>SUM(OSRRefH22_11x_0)</f>
        <v>-0.52</v>
      </c>
      <c r="I85" s="2"/>
      <c r="J85" s="6">
        <f t="shared" si="21"/>
        <v>-2.5281721023987495E-5</v>
      </c>
      <c r="K85" s="2"/>
      <c r="L85" s="2">
        <f t="shared" si="22"/>
        <v>0.52</v>
      </c>
      <c r="M85" s="2"/>
      <c r="N85" s="6">
        <f t="shared" si="23"/>
        <v>-1</v>
      </c>
      <c r="O85" s="14"/>
      <c r="P85" s="2">
        <f>SUM(OSRRefP22_11x_0)</f>
        <v>1286.6399999999999</v>
      </c>
      <c r="Q85" s="2"/>
      <c r="R85" s="6">
        <f t="shared" si="24"/>
        <v>4.9842406279064716E-3</v>
      </c>
      <c r="S85" s="2"/>
      <c r="T85" s="2">
        <f>SUM(OSRRefT22_11x_0)</f>
        <v>95.92</v>
      </c>
      <c r="U85" s="2"/>
      <c r="V85" s="6">
        <f t="shared" si="25"/>
        <v>5.2062973618640447E-4</v>
      </c>
      <c r="W85" s="2"/>
      <c r="X85" s="2">
        <f t="shared" si="26"/>
        <v>1190.7199999999998</v>
      </c>
      <c r="Y85" s="2"/>
      <c r="Z85" s="6">
        <f t="shared" si="27"/>
        <v>12.41367806505421</v>
      </c>
    </row>
    <row r="86" spans="1:26" s="69" customFormat="1" ht="15" hidden="1" customHeight="1" outlineLevel="2" x14ac:dyDescent="0.3">
      <c r="A86" s="26"/>
      <c r="B86" s="12" t="str">
        <f>CONCATENATE("          ","6372"," - ","COMPUTER HARDWARE MAINTENANCE")</f>
        <v xml:space="preserve">          6372 - COMPUTER HARDWARE MAINTENANCE</v>
      </c>
      <c r="C86" s="12"/>
      <c r="D86" s="8"/>
      <c r="E86" s="3"/>
      <c r="F86" s="7">
        <f t="shared" si="20"/>
        <v>0</v>
      </c>
      <c r="G86" s="3"/>
      <c r="H86" s="8">
        <v>-0.52</v>
      </c>
      <c r="I86" s="3"/>
      <c r="J86" s="7">
        <f t="shared" si="21"/>
        <v>-2.5281721023987495E-5</v>
      </c>
      <c r="K86" s="3"/>
      <c r="L86" s="8">
        <f t="shared" si="22"/>
        <v>0.52</v>
      </c>
      <c r="M86" s="3"/>
      <c r="N86" s="7">
        <f t="shared" si="23"/>
        <v>-1</v>
      </c>
      <c r="O86" s="12"/>
      <c r="P86" s="8"/>
      <c r="Q86" s="3"/>
      <c r="R86" s="7">
        <f t="shared" si="24"/>
        <v>0</v>
      </c>
      <c r="S86" s="3"/>
      <c r="T86" s="8">
        <v>-0.52</v>
      </c>
      <c r="U86" s="3"/>
      <c r="V86" s="7">
        <f t="shared" si="25"/>
        <v>-2.8224297624784229E-6</v>
      </c>
      <c r="W86" s="3"/>
      <c r="X86" s="8">
        <f t="shared" si="26"/>
        <v>0.52</v>
      </c>
      <c r="Y86" s="3"/>
      <c r="Z86" s="7">
        <f t="shared" si="27"/>
        <v>-1</v>
      </c>
    </row>
    <row r="87" spans="1:26" s="69" customFormat="1" ht="15" hidden="1" customHeight="1" outlineLevel="2" x14ac:dyDescent="0.3">
      <c r="A87" s="26"/>
      <c r="B87" s="12" t="str">
        <f>CONCATENATE("          ","6373"," - ","MAINTENANCE CONTRACTS")</f>
        <v xml:space="preserve">          6373 - MAINTENANCE CONTRACTS</v>
      </c>
      <c r="C87" s="12"/>
      <c r="D87" s="8"/>
      <c r="E87" s="3"/>
      <c r="F87" s="7">
        <f t="shared" si="20"/>
        <v>0</v>
      </c>
      <c r="G87" s="3"/>
      <c r="H87" s="8"/>
      <c r="I87" s="3"/>
      <c r="J87" s="7">
        <f t="shared" si="21"/>
        <v>0</v>
      </c>
      <c r="K87" s="3"/>
      <c r="L87" s="8">
        <f t="shared" si="22"/>
        <v>0</v>
      </c>
      <c r="M87" s="3"/>
      <c r="N87" s="7">
        <f t="shared" si="23"/>
        <v>0</v>
      </c>
      <c r="O87" s="12"/>
      <c r="P87" s="8">
        <v>463.83</v>
      </c>
      <c r="Q87" s="3"/>
      <c r="R87" s="7">
        <f t="shared" si="24"/>
        <v>1.7968043356664327E-3</v>
      </c>
      <c r="S87" s="3"/>
      <c r="T87" s="8">
        <v>96.44</v>
      </c>
      <c r="U87" s="3"/>
      <c r="V87" s="7">
        <f t="shared" si="25"/>
        <v>5.2345216594888288E-4</v>
      </c>
      <c r="W87" s="3"/>
      <c r="X87" s="8">
        <f t="shared" si="26"/>
        <v>367.39</v>
      </c>
      <c r="Y87" s="3"/>
      <c r="Z87" s="7">
        <f t="shared" si="27"/>
        <v>3.8095188718374118</v>
      </c>
    </row>
    <row r="88" spans="1:26" s="69" customFormat="1" ht="15" hidden="1" customHeight="1" outlineLevel="2" x14ac:dyDescent="0.3">
      <c r="A88" s="26"/>
      <c r="B88" s="12" t="str">
        <f>CONCATENATE("          ","6375"," - ","OUTSIDE REPAIRS &amp; MAINTENANCE")</f>
        <v xml:space="preserve">          6375 - OUTSIDE REPAIRS &amp; MAINTENANCE</v>
      </c>
      <c r="C88" s="12"/>
      <c r="D88" s="8"/>
      <c r="E88" s="3"/>
      <c r="F88" s="7">
        <f t="shared" si="20"/>
        <v>0</v>
      </c>
      <c r="G88" s="3"/>
      <c r="H88" s="8"/>
      <c r="I88" s="3"/>
      <c r="J88" s="7">
        <f t="shared" si="21"/>
        <v>0</v>
      </c>
      <c r="K88" s="3"/>
      <c r="L88" s="8">
        <f t="shared" si="22"/>
        <v>0</v>
      </c>
      <c r="M88" s="3"/>
      <c r="N88" s="7">
        <f t="shared" si="23"/>
        <v>0</v>
      </c>
      <c r="O88" s="12"/>
      <c r="P88" s="8">
        <v>822.81</v>
      </c>
      <c r="Q88" s="3"/>
      <c r="R88" s="7">
        <f t="shared" si="24"/>
        <v>3.1874362922400395E-3</v>
      </c>
      <c r="S88" s="3"/>
      <c r="T88" s="8"/>
      <c r="U88" s="3"/>
      <c r="V88" s="7">
        <f t="shared" si="25"/>
        <v>0</v>
      </c>
      <c r="W88" s="3"/>
      <c r="X88" s="8">
        <f t="shared" si="26"/>
        <v>822.81</v>
      </c>
      <c r="Y88" s="3"/>
      <c r="Z88" s="7">
        <f t="shared" si="27"/>
        <v>0</v>
      </c>
    </row>
    <row r="89" spans="1:26" s="68" customFormat="1" ht="15" customHeight="1" outlineLevel="1" collapsed="1" x14ac:dyDescent="0.3">
      <c r="A89" s="25"/>
      <c r="B89" s="14" t="str">
        <f>CONCATENATE("     ","Services                                          ")</f>
        <v xml:space="preserve">     Services                                          </v>
      </c>
      <c r="C89" s="14"/>
      <c r="D89" s="2">
        <f>SUM(OSRRefD22_12x_0)</f>
        <v>223.45</v>
      </c>
      <c r="E89" s="2"/>
      <c r="F89" s="6">
        <f t="shared" si="20"/>
        <v>8.326619619744206E-3</v>
      </c>
      <c r="G89" s="2"/>
      <c r="H89" s="2">
        <f>SUM(OSRRefH22_12x_0)</f>
        <v>81.84</v>
      </c>
      <c r="I89" s="2"/>
      <c r="J89" s="6">
        <f t="shared" si="21"/>
        <v>3.9789539396214166E-3</v>
      </c>
      <c r="K89" s="2"/>
      <c r="L89" s="2">
        <f t="shared" si="22"/>
        <v>141.60999999999999</v>
      </c>
      <c r="M89" s="2"/>
      <c r="N89" s="6">
        <f t="shared" si="23"/>
        <v>1.7303274682306937</v>
      </c>
      <c r="O89" s="14"/>
      <c r="P89" s="2">
        <f>SUM(OSRRefP22_12x_0)</f>
        <v>1355.3600000000001</v>
      </c>
      <c r="Q89" s="2"/>
      <c r="R89" s="6">
        <f t="shared" si="24"/>
        <v>5.2504510798974981E-3</v>
      </c>
      <c r="S89" s="2"/>
      <c r="T89" s="2">
        <f>SUM(OSRRefT22_12x_0)</f>
        <v>356.49999999999989</v>
      </c>
      <c r="U89" s="2"/>
      <c r="V89" s="6">
        <f t="shared" si="25"/>
        <v>1.9349927121606872E-3</v>
      </c>
      <c r="W89" s="2"/>
      <c r="X89" s="2">
        <f t="shared" si="26"/>
        <v>998.86000000000024</v>
      </c>
      <c r="Y89" s="2"/>
      <c r="Z89" s="6">
        <f t="shared" si="27"/>
        <v>2.8018513323983187</v>
      </c>
    </row>
    <row r="90" spans="1:26" s="69" customFormat="1" ht="15" hidden="1" customHeight="1" outlineLevel="2" x14ac:dyDescent="0.3">
      <c r="A90" s="26"/>
      <c r="B90" s="12" t="str">
        <f>CONCATENATE("          ","6283"," - ","PLANT SERVICE")</f>
        <v xml:space="preserve">          6283 - PLANT SERVICE</v>
      </c>
      <c r="C90" s="12"/>
      <c r="D90" s="8"/>
      <c r="E90" s="3"/>
      <c r="F90" s="7">
        <f t="shared" si="20"/>
        <v>0</v>
      </c>
      <c r="G90" s="3"/>
      <c r="H90" s="8"/>
      <c r="I90" s="3"/>
      <c r="J90" s="7">
        <f t="shared" si="21"/>
        <v>0</v>
      </c>
      <c r="K90" s="3"/>
      <c r="L90" s="8">
        <f t="shared" si="22"/>
        <v>0</v>
      </c>
      <c r="M90" s="3"/>
      <c r="N90" s="7">
        <f t="shared" si="23"/>
        <v>0</v>
      </c>
      <c r="O90" s="12"/>
      <c r="P90" s="8"/>
      <c r="Q90" s="3"/>
      <c r="R90" s="7">
        <f t="shared" si="24"/>
        <v>0</v>
      </c>
      <c r="S90" s="3"/>
      <c r="T90" s="8">
        <v>41.31</v>
      </c>
      <c r="U90" s="3"/>
      <c r="V90" s="7">
        <f t="shared" si="25"/>
        <v>2.2422033363073777E-4</v>
      </c>
      <c r="W90" s="3"/>
      <c r="X90" s="8">
        <f t="shared" si="26"/>
        <v>-41.31</v>
      </c>
      <c r="Y90" s="3"/>
      <c r="Z90" s="7">
        <f t="shared" si="27"/>
        <v>-1</v>
      </c>
    </row>
    <row r="91" spans="1:26" s="69" customFormat="1" ht="15" hidden="1" customHeight="1" outlineLevel="2" x14ac:dyDescent="0.3">
      <c r="A91" s="26"/>
      <c r="B91" s="12" t="str">
        <f>CONCATENATE("          ","6284"," - ","TRASH REMOVAL EXPENSE")</f>
        <v xml:space="preserve">          6284 - TRASH REMOVAL EXPENSE</v>
      </c>
      <c r="C91" s="12"/>
      <c r="D91" s="8">
        <v>149.69999999999999</v>
      </c>
      <c r="E91" s="3"/>
      <c r="F91" s="7">
        <f t="shared" si="20"/>
        <v>5.5784066103186734E-3</v>
      </c>
      <c r="G91" s="3"/>
      <c r="H91" s="8">
        <v>142.57</v>
      </c>
      <c r="I91" s="3"/>
      <c r="J91" s="7">
        <f t="shared" si="21"/>
        <v>6.9315672430574939E-3</v>
      </c>
      <c r="K91" s="3"/>
      <c r="L91" s="8">
        <f t="shared" si="22"/>
        <v>7.1299999999999955</v>
      </c>
      <c r="M91" s="3"/>
      <c r="N91" s="7">
        <f t="shared" si="23"/>
        <v>5.0010521147506461E-2</v>
      </c>
      <c r="O91" s="12"/>
      <c r="P91" s="8">
        <v>1190.47</v>
      </c>
      <c r="Q91" s="3"/>
      <c r="R91" s="7">
        <f t="shared" si="24"/>
        <v>4.6116932011314882E-3</v>
      </c>
      <c r="S91" s="3"/>
      <c r="T91" s="8">
        <v>1155.58</v>
      </c>
      <c r="U91" s="3"/>
      <c r="V91" s="7">
        <f t="shared" si="25"/>
        <v>6.2721988171631068E-3</v>
      </c>
      <c r="W91" s="3"/>
      <c r="X91" s="8">
        <f t="shared" si="26"/>
        <v>34.8900000000001</v>
      </c>
      <c r="Y91" s="3"/>
      <c r="Z91" s="7">
        <f t="shared" si="27"/>
        <v>3.0192630540507887E-2</v>
      </c>
    </row>
    <row r="92" spans="1:26" s="69" customFormat="1" ht="15" hidden="1" customHeight="1" outlineLevel="2" x14ac:dyDescent="0.3">
      <c r="A92" s="26"/>
      <c r="B92" s="12" t="str">
        <f>CONCATENATE("          ","6285"," - ","JANITORIAL SERVICES")</f>
        <v xml:space="preserve">          6285 - JANITORIAL SERVICES</v>
      </c>
      <c r="C92" s="12"/>
      <c r="D92" s="8">
        <v>73.75</v>
      </c>
      <c r="E92" s="3"/>
      <c r="F92" s="7">
        <f t="shared" si="20"/>
        <v>2.7482130094255322E-3</v>
      </c>
      <c r="G92" s="3"/>
      <c r="H92" s="8">
        <v>-60.73</v>
      </c>
      <c r="I92" s="3"/>
      <c r="J92" s="7">
        <f t="shared" si="21"/>
        <v>-2.9526133034360777E-3</v>
      </c>
      <c r="K92" s="3"/>
      <c r="L92" s="8">
        <f t="shared" si="22"/>
        <v>134.47999999999999</v>
      </c>
      <c r="M92" s="3"/>
      <c r="N92" s="7">
        <f t="shared" si="23"/>
        <v>-2.2143915692409024</v>
      </c>
      <c r="O92" s="12"/>
      <c r="P92" s="8">
        <v>164.89</v>
      </c>
      <c r="Q92" s="3"/>
      <c r="R92" s="7">
        <f t="shared" si="24"/>
        <v>6.3875787876600928E-4</v>
      </c>
      <c r="S92" s="3"/>
      <c r="T92" s="8">
        <v>-840.39</v>
      </c>
      <c r="U92" s="3"/>
      <c r="V92" s="7">
        <f t="shared" si="25"/>
        <v>-4.5614264386331571E-3</v>
      </c>
      <c r="W92" s="3"/>
      <c r="X92" s="8">
        <f t="shared" si="26"/>
        <v>1005.28</v>
      </c>
      <c r="Y92" s="3"/>
      <c r="Z92" s="7">
        <f t="shared" si="27"/>
        <v>-1.1962065231618653</v>
      </c>
    </row>
    <row r="93" spans="1:26" s="68" customFormat="1" ht="15" customHeight="1" outlineLevel="1" collapsed="1" x14ac:dyDescent="0.3">
      <c r="A93" s="25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2">
        <f>SUM(OSRRefD22_13x_0)</f>
        <v>0</v>
      </c>
      <c r="E93" s="2"/>
      <c r="F93" s="6">
        <f t="shared" si="20"/>
        <v>0</v>
      </c>
      <c r="G93" s="2"/>
      <c r="H93" s="2">
        <f>SUM(OSRRefH22_13x_0)</f>
        <v>0</v>
      </c>
      <c r="I93" s="2"/>
      <c r="J93" s="6">
        <f t="shared" si="21"/>
        <v>0</v>
      </c>
      <c r="K93" s="2"/>
      <c r="L93" s="2">
        <f t="shared" si="22"/>
        <v>0</v>
      </c>
      <c r="M93" s="2"/>
      <c r="N93" s="6">
        <f t="shared" si="23"/>
        <v>0</v>
      </c>
      <c r="O93" s="14"/>
      <c r="P93" s="2">
        <f>SUM(OSRRefP22_13x_0)</f>
        <v>0</v>
      </c>
      <c r="Q93" s="2"/>
      <c r="R93" s="6">
        <f t="shared" si="24"/>
        <v>0</v>
      </c>
      <c r="S93" s="2"/>
      <c r="T93" s="2">
        <f>SUM(OSRRefT22_13x_0)</f>
        <v>164.27</v>
      </c>
      <c r="U93" s="2"/>
      <c r="V93" s="6">
        <f t="shared" si="25"/>
        <v>8.9161641746602022E-4</v>
      </c>
      <c r="W93" s="2"/>
      <c r="X93" s="2">
        <f t="shared" si="26"/>
        <v>-164.27</v>
      </c>
      <c r="Y93" s="2"/>
      <c r="Z93" s="6">
        <f t="shared" si="27"/>
        <v>-1</v>
      </c>
    </row>
    <row r="94" spans="1:26" s="69" customFormat="1" ht="15" hidden="1" customHeight="1" outlineLevel="2" x14ac:dyDescent="0.3">
      <c r="A94" s="26"/>
      <c r="B94" s="12" t="str">
        <f>CONCATENATE("          ","6258"," - ","MEMBERSHIP DUES")</f>
        <v xml:space="preserve">          6258 - MEMBERSHIP DUES</v>
      </c>
      <c r="C94" s="12"/>
      <c r="D94" s="8"/>
      <c r="E94" s="3"/>
      <c r="F94" s="7">
        <f t="shared" si="20"/>
        <v>0</v>
      </c>
      <c r="G94" s="3"/>
      <c r="H94" s="8"/>
      <c r="I94" s="3"/>
      <c r="J94" s="7">
        <f t="shared" si="21"/>
        <v>0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/>
      <c r="Q94" s="3"/>
      <c r="R94" s="7">
        <f t="shared" si="24"/>
        <v>0</v>
      </c>
      <c r="S94" s="3"/>
      <c r="T94" s="8">
        <v>-60.73</v>
      </c>
      <c r="U94" s="3"/>
      <c r="V94" s="7">
        <f t="shared" si="25"/>
        <v>-3.2962722976022038E-4</v>
      </c>
      <c r="W94" s="3"/>
      <c r="X94" s="8">
        <f t="shared" si="26"/>
        <v>60.73</v>
      </c>
      <c r="Y94" s="3"/>
      <c r="Z94" s="7">
        <f t="shared" si="27"/>
        <v>-1</v>
      </c>
    </row>
    <row r="95" spans="1:26" s="69" customFormat="1" ht="15" hidden="1" customHeight="1" outlineLevel="2" x14ac:dyDescent="0.3">
      <c r="A95" s="26"/>
      <c r="B95" s="12" t="str">
        <f>CONCATENATE("          ","6275"," - ","SUBSCRIPTIONS")</f>
        <v xml:space="preserve">          6275 - SUBSCRIPTIONS</v>
      </c>
      <c r="C95" s="12"/>
      <c r="D95" s="8"/>
      <c r="E95" s="3"/>
      <c r="F95" s="7">
        <f t="shared" si="20"/>
        <v>0</v>
      </c>
      <c r="G95" s="3"/>
      <c r="H95" s="8"/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/>
      <c r="Q95" s="3"/>
      <c r="R95" s="7">
        <f t="shared" si="24"/>
        <v>0</v>
      </c>
      <c r="S95" s="3"/>
      <c r="T95" s="8">
        <v>225</v>
      </c>
      <c r="U95" s="3"/>
      <c r="V95" s="7">
        <f t="shared" si="25"/>
        <v>1.2212436472262406E-3</v>
      </c>
      <c r="W95" s="3"/>
      <c r="X95" s="8">
        <f t="shared" si="26"/>
        <v>-225</v>
      </c>
      <c r="Y95" s="3"/>
      <c r="Z95" s="7">
        <f t="shared" si="27"/>
        <v>-1</v>
      </c>
    </row>
    <row r="96" spans="1:26" s="68" customFormat="1" ht="15" customHeight="1" outlineLevel="1" collapsed="1" x14ac:dyDescent="0.3">
      <c r="A96" s="25"/>
      <c r="B96" s="14" t="str">
        <f>CONCATENATE("     ","Supplies                                          ")</f>
        <v xml:space="preserve">     Supplies                                          </v>
      </c>
      <c r="C96" s="14"/>
      <c r="D96" s="2">
        <f>SUM(OSRRefD22_14x_0)</f>
        <v>0</v>
      </c>
      <c r="E96" s="2"/>
      <c r="F96" s="6">
        <f t="shared" si="20"/>
        <v>0</v>
      </c>
      <c r="G96" s="2"/>
      <c r="H96" s="2">
        <f>SUM(OSRRefH22_14x_0)</f>
        <v>5.95</v>
      </c>
      <c r="I96" s="2"/>
      <c r="J96" s="6">
        <f t="shared" si="21"/>
        <v>2.8928123094754924E-4</v>
      </c>
      <c r="K96" s="2"/>
      <c r="L96" s="2">
        <f t="shared" si="22"/>
        <v>-5.95</v>
      </c>
      <c r="M96" s="2"/>
      <c r="N96" s="6">
        <f t="shared" si="23"/>
        <v>-1</v>
      </c>
      <c r="O96" s="14"/>
      <c r="P96" s="2">
        <f>SUM(OSRRefP22_14x_0)</f>
        <v>1036.6300000000001</v>
      </c>
      <c r="Q96" s="2"/>
      <c r="R96" s="6">
        <f t="shared" si="24"/>
        <v>4.0157412812493682E-3</v>
      </c>
      <c r="S96" s="2"/>
      <c r="T96" s="2">
        <f>SUM(OSRRefT22_14x_0)</f>
        <v>559.15</v>
      </c>
      <c r="U96" s="2"/>
      <c r="V96" s="6">
        <f t="shared" si="25"/>
        <v>3.0349261570957885E-3</v>
      </c>
      <c r="W96" s="2"/>
      <c r="X96" s="2">
        <f t="shared" si="26"/>
        <v>477.48000000000013</v>
      </c>
      <c r="Y96" s="2"/>
      <c r="Z96" s="6">
        <f t="shared" si="27"/>
        <v>0.85393901457569554</v>
      </c>
    </row>
    <row r="97" spans="1:26" s="69" customFormat="1" ht="15" hidden="1" customHeight="1" outlineLevel="2" x14ac:dyDescent="0.3">
      <c r="A97" s="26"/>
      <c r="B97" s="12" t="str">
        <f>CONCATENATE("          ","6235"," - ","COVID-19 EXPENSES")</f>
        <v xml:space="preserve">          6235 - COVID-19 EXPENSES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265.7</v>
      </c>
      <c r="U97" s="3"/>
      <c r="V97" s="7">
        <f t="shared" si="25"/>
        <v>1.4421530536356095E-3</v>
      </c>
      <c r="W97" s="3"/>
      <c r="X97" s="8">
        <f t="shared" si="26"/>
        <v>-265.7</v>
      </c>
      <c r="Y97" s="3"/>
      <c r="Z97" s="7">
        <f t="shared" si="27"/>
        <v>-1</v>
      </c>
    </row>
    <row r="98" spans="1:26" s="69" customFormat="1" ht="15" hidden="1" customHeight="1" outlineLevel="2" x14ac:dyDescent="0.3">
      <c r="A98" s="26"/>
      <c r="B98" s="12" t="str">
        <f>CONCATENATE("          ","6237"," - ","JANITORIAL SUPPLIES")</f>
        <v xml:space="preserve">          6237 - JANITORIAL SUPPLIES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77.17</v>
      </c>
      <c r="Q98" s="3"/>
      <c r="R98" s="7">
        <f t="shared" si="24"/>
        <v>2.9894442054929313E-4</v>
      </c>
      <c r="S98" s="3"/>
      <c r="T98" s="8">
        <v>191.74</v>
      </c>
      <c r="U98" s="3"/>
      <c r="V98" s="7">
        <f t="shared" si="25"/>
        <v>1.0407166974184861E-3</v>
      </c>
      <c r="W98" s="3"/>
      <c r="X98" s="8">
        <f t="shared" si="26"/>
        <v>-114.57000000000001</v>
      </c>
      <c r="Y98" s="3"/>
      <c r="Z98" s="7">
        <f t="shared" si="27"/>
        <v>-0.59752790236778974</v>
      </c>
    </row>
    <row r="99" spans="1:26" s="69" customFormat="1" ht="15" hidden="1" customHeight="1" outlineLevel="2" x14ac:dyDescent="0.3">
      <c r="A99" s="26"/>
      <c r="B99" s="12" t="str">
        <f>CONCATENATE("          ","6241"," - ","OFFICE EXPENSE")</f>
        <v xml:space="preserve">          6241 - OFFICE EXPENSE</v>
      </c>
      <c r="C99" s="12"/>
      <c r="D99" s="8"/>
      <c r="E99" s="3"/>
      <c r="F99" s="7">
        <f t="shared" si="20"/>
        <v>0</v>
      </c>
      <c r="G99" s="3"/>
      <c r="H99" s="8">
        <v>5.95</v>
      </c>
      <c r="I99" s="3"/>
      <c r="J99" s="7">
        <f t="shared" si="21"/>
        <v>2.8928123094754924E-4</v>
      </c>
      <c r="K99" s="3"/>
      <c r="L99" s="8">
        <f t="shared" si="22"/>
        <v>-5.95</v>
      </c>
      <c r="M99" s="3"/>
      <c r="N99" s="7">
        <f t="shared" si="23"/>
        <v>-1</v>
      </c>
      <c r="O99" s="12"/>
      <c r="P99" s="8">
        <v>359.96</v>
      </c>
      <c r="Q99" s="3"/>
      <c r="R99" s="7">
        <f t="shared" si="24"/>
        <v>1.3944283221578792E-3</v>
      </c>
      <c r="S99" s="3"/>
      <c r="T99" s="8">
        <v>101.71</v>
      </c>
      <c r="U99" s="3"/>
      <c r="V99" s="7">
        <f t="shared" si="25"/>
        <v>5.5205640604169299E-4</v>
      </c>
      <c r="W99" s="3"/>
      <c r="X99" s="8">
        <f t="shared" si="26"/>
        <v>258.25</v>
      </c>
      <c r="Y99" s="3"/>
      <c r="Z99" s="7">
        <f t="shared" si="27"/>
        <v>2.5390817028807393</v>
      </c>
    </row>
    <row r="100" spans="1:26" s="69" customFormat="1" ht="15" hidden="1" customHeight="1" outlineLevel="2" x14ac:dyDescent="0.3">
      <c r="A100" s="26"/>
      <c r="B100" s="12" t="str">
        <f>CONCATENATE("          ","6247"," - ","STORE SUPPLIES")</f>
        <v xml:space="preserve">          6247 - STORE SUPPLIES</v>
      </c>
      <c r="C100" s="12"/>
      <c r="D100" s="8"/>
      <c r="E100" s="3"/>
      <c r="F100" s="7">
        <f t="shared" si="20"/>
        <v>0</v>
      </c>
      <c r="G100" s="3"/>
      <c r="H100" s="8"/>
      <c r="I100" s="3"/>
      <c r="J100" s="7">
        <f t="shared" si="21"/>
        <v>0</v>
      </c>
      <c r="K100" s="3"/>
      <c r="L100" s="8">
        <f t="shared" si="22"/>
        <v>0</v>
      </c>
      <c r="M100" s="3"/>
      <c r="N100" s="7">
        <f t="shared" si="23"/>
        <v>0</v>
      </c>
      <c r="O100" s="12"/>
      <c r="P100" s="8">
        <v>599.5</v>
      </c>
      <c r="Q100" s="3"/>
      <c r="R100" s="7">
        <f t="shared" si="24"/>
        <v>2.3223685385421952E-3</v>
      </c>
      <c r="S100" s="3"/>
      <c r="T100" s="8"/>
      <c r="U100" s="3"/>
      <c r="V100" s="7">
        <f t="shared" si="25"/>
        <v>0</v>
      </c>
      <c r="W100" s="3"/>
      <c r="X100" s="8">
        <f t="shared" si="26"/>
        <v>599.5</v>
      </c>
      <c r="Y100" s="3"/>
      <c r="Z100" s="7">
        <f t="shared" si="27"/>
        <v>0</v>
      </c>
    </row>
    <row r="101" spans="1:26" s="68" customFormat="1" ht="15" customHeight="1" outlineLevel="1" collapsed="1" x14ac:dyDescent="0.3">
      <c r="A101" s="25"/>
      <c r="B101" s="14" t="str">
        <f>CONCATENATE("     ","Telephone/Data Lines                              ")</f>
        <v xml:space="preserve">     Telephone/Data Lines                              </v>
      </c>
      <c r="C101" s="14"/>
      <c r="D101" s="2">
        <f>SUM(OSRRefD22_15x_0)</f>
        <v>310.19</v>
      </c>
      <c r="E101" s="2"/>
      <c r="F101" s="6">
        <f t="shared" si="20"/>
        <v>1.1558890757880757E-2</v>
      </c>
      <c r="G101" s="2"/>
      <c r="H101" s="2">
        <f>SUM(OSRRefH22_15x_0)</f>
        <v>30.44</v>
      </c>
      <c r="I101" s="2"/>
      <c r="J101" s="6">
        <f t="shared" si="21"/>
        <v>1.4799530537888065E-3</v>
      </c>
      <c r="K101" s="2"/>
      <c r="L101" s="2">
        <f t="shared" si="22"/>
        <v>279.75</v>
      </c>
      <c r="M101" s="2"/>
      <c r="N101" s="6">
        <f t="shared" si="23"/>
        <v>9.1902102496714839</v>
      </c>
      <c r="O101" s="14"/>
      <c r="P101" s="2">
        <f>SUM(OSRRefP22_15x_0)</f>
        <v>2490.0700000000002</v>
      </c>
      <c r="Q101" s="2"/>
      <c r="R101" s="6">
        <f t="shared" si="24"/>
        <v>9.646138826968749E-3</v>
      </c>
      <c r="S101" s="2"/>
      <c r="T101" s="2">
        <f>SUM(OSRRefT22_15x_0)</f>
        <v>2327.64</v>
      </c>
      <c r="U101" s="2"/>
      <c r="V101" s="6">
        <f t="shared" si="25"/>
        <v>1.2633846946798607E-2</v>
      </c>
      <c r="W101" s="2"/>
      <c r="X101" s="2">
        <f t="shared" si="26"/>
        <v>162.43000000000029</v>
      </c>
      <c r="Y101" s="2"/>
      <c r="Z101" s="6">
        <f t="shared" si="27"/>
        <v>6.9783127975116557E-2</v>
      </c>
    </row>
    <row r="102" spans="1:26" s="69" customFormat="1" ht="15" hidden="1" customHeight="1" outlineLevel="2" x14ac:dyDescent="0.3">
      <c r="A102" s="26"/>
      <c r="B102" s="12" t="str">
        <f>CONCATENATE("          ","6309"," - ","TELEPHONE")</f>
        <v xml:space="preserve">          6309 - TELEPHONE</v>
      </c>
      <c r="C102" s="12"/>
      <c r="D102" s="8">
        <v>310.19</v>
      </c>
      <c r="E102" s="3"/>
      <c r="F102" s="7">
        <f t="shared" si="20"/>
        <v>1.1558890757880757E-2</v>
      </c>
      <c r="G102" s="3"/>
      <c r="H102" s="8">
        <v>30.44</v>
      </c>
      <c r="I102" s="3"/>
      <c r="J102" s="7">
        <f t="shared" si="21"/>
        <v>1.4799530537888065E-3</v>
      </c>
      <c r="K102" s="3"/>
      <c r="L102" s="8">
        <f t="shared" si="22"/>
        <v>279.75</v>
      </c>
      <c r="M102" s="3"/>
      <c r="N102" s="7">
        <f t="shared" si="23"/>
        <v>9.1902102496714839</v>
      </c>
      <c r="O102" s="12"/>
      <c r="P102" s="8">
        <v>2490.0700000000002</v>
      </c>
      <c r="Q102" s="3"/>
      <c r="R102" s="7">
        <f t="shared" si="24"/>
        <v>9.646138826968749E-3</v>
      </c>
      <c r="S102" s="3"/>
      <c r="T102" s="8">
        <v>2327.64</v>
      </c>
      <c r="U102" s="3"/>
      <c r="V102" s="7">
        <f t="shared" si="25"/>
        <v>1.2633846946798607E-2</v>
      </c>
      <c r="W102" s="3"/>
      <c r="X102" s="8">
        <f t="shared" si="26"/>
        <v>162.43000000000029</v>
      </c>
      <c r="Y102" s="3"/>
      <c r="Z102" s="7">
        <f t="shared" si="27"/>
        <v>6.9783127975116557E-2</v>
      </c>
    </row>
    <row r="103" spans="1:26" s="68" customFormat="1" ht="15" customHeight="1" outlineLevel="1" collapsed="1" x14ac:dyDescent="0.3">
      <c r="A103" s="25"/>
      <c r="B103" s="14" t="str">
        <f>CONCATENATE("     ","Travel                                            ")</f>
        <v xml:space="preserve">     Travel                                            </v>
      </c>
      <c r="C103" s="14"/>
      <c r="D103" s="2">
        <f>SUM(OSRRefD22_16x_0)</f>
        <v>116.74</v>
      </c>
      <c r="E103" s="2"/>
      <c r="F103" s="6">
        <f t="shared" si="20"/>
        <v>4.3501882945130386E-3</v>
      </c>
      <c r="G103" s="2"/>
      <c r="H103" s="2">
        <f>SUM(OSRRefH22_16x_0)</f>
        <v>0</v>
      </c>
      <c r="I103" s="2"/>
      <c r="J103" s="6">
        <f t="shared" si="21"/>
        <v>0</v>
      </c>
      <c r="K103" s="2"/>
      <c r="L103" s="2">
        <f t="shared" si="22"/>
        <v>116.74</v>
      </c>
      <c r="M103" s="2"/>
      <c r="N103" s="6">
        <f t="shared" si="23"/>
        <v>0</v>
      </c>
      <c r="O103" s="14"/>
      <c r="P103" s="2">
        <f>SUM(OSRRefP22_16x_0)</f>
        <v>316.35000000000002</v>
      </c>
      <c r="Q103" s="2"/>
      <c r="R103" s="6">
        <f t="shared" si="24"/>
        <v>1.2254900536577541E-3</v>
      </c>
      <c r="S103" s="2"/>
      <c r="T103" s="2">
        <f>SUM(OSRRefT22_16x_0)</f>
        <v>381.34</v>
      </c>
      <c r="U103" s="2"/>
      <c r="V103" s="6">
        <f t="shared" si="25"/>
        <v>2.0698180108144645E-3</v>
      </c>
      <c r="W103" s="2"/>
      <c r="X103" s="2">
        <f t="shared" si="26"/>
        <v>-64.989999999999952</v>
      </c>
      <c r="Y103" s="2"/>
      <c r="Z103" s="6">
        <f t="shared" si="27"/>
        <v>-0.17042534221429684</v>
      </c>
    </row>
    <row r="104" spans="1:26" s="69" customFormat="1" ht="15" hidden="1" customHeight="1" outlineLevel="2" x14ac:dyDescent="0.3">
      <c r="A104" s="26"/>
      <c r="B104" s="12" t="str">
        <f>CONCATENATE("          ","6294"," - ","TRAVEL OPERATIONAL")</f>
        <v xml:space="preserve">          6294 - TRAVEL OPERATIONAL</v>
      </c>
      <c r="C104" s="12"/>
      <c r="D104" s="8">
        <v>116.74</v>
      </c>
      <c r="E104" s="3"/>
      <c r="F104" s="7">
        <f t="shared" si="20"/>
        <v>4.3501882945130386E-3</v>
      </c>
      <c r="G104" s="3"/>
      <c r="H104" s="8"/>
      <c r="I104" s="3"/>
      <c r="J104" s="7">
        <f t="shared" si="21"/>
        <v>0</v>
      </c>
      <c r="K104" s="3"/>
      <c r="L104" s="8">
        <f t="shared" si="22"/>
        <v>116.74</v>
      </c>
      <c r="M104" s="3"/>
      <c r="N104" s="7">
        <f t="shared" si="23"/>
        <v>0</v>
      </c>
      <c r="O104" s="12"/>
      <c r="P104" s="8">
        <v>316.35000000000002</v>
      </c>
      <c r="Q104" s="3"/>
      <c r="R104" s="7">
        <f t="shared" si="24"/>
        <v>1.2254900536577541E-3</v>
      </c>
      <c r="S104" s="3"/>
      <c r="T104" s="8">
        <v>381.34</v>
      </c>
      <c r="U104" s="3"/>
      <c r="V104" s="7">
        <f t="shared" si="25"/>
        <v>2.0698180108144645E-3</v>
      </c>
      <c r="W104" s="3"/>
      <c r="X104" s="8">
        <f t="shared" si="26"/>
        <v>-64.989999999999952</v>
      </c>
      <c r="Y104" s="3"/>
      <c r="Z104" s="7">
        <f t="shared" si="27"/>
        <v>-0.17042534221429684</v>
      </c>
    </row>
    <row r="105" spans="1:26" s="68" customFormat="1" ht="15" customHeight="1" outlineLevel="1" collapsed="1" x14ac:dyDescent="0.3">
      <c r="A105" s="25"/>
      <c r="B105" s="14" t="str">
        <f>CONCATENATE("     ","Utilities                                         ")</f>
        <v xml:space="preserve">     Utilities                                         </v>
      </c>
      <c r="C105" s="14"/>
      <c r="D105" s="2">
        <f>SUM(OSRRefD22_17x_0)</f>
        <v>355.65</v>
      </c>
      <c r="E105" s="2"/>
      <c r="F105" s="6">
        <f t="shared" si="20"/>
        <v>1.3252907888843261E-2</v>
      </c>
      <c r="G105" s="2"/>
      <c r="H105" s="2">
        <f>SUM(OSRRefH22_17x_0)</f>
        <v>28.14</v>
      </c>
      <c r="I105" s="2"/>
      <c r="J105" s="6">
        <f t="shared" si="21"/>
        <v>1.3681300569519386E-3</v>
      </c>
      <c r="K105" s="2"/>
      <c r="L105" s="2">
        <f t="shared" si="22"/>
        <v>327.51</v>
      </c>
      <c r="M105" s="2"/>
      <c r="N105" s="6">
        <f t="shared" si="23"/>
        <v>11.638592750533048</v>
      </c>
      <c r="O105" s="14"/>
      <c r="P105" s="2">
        <f>SUM(OSRRefP22_17x_0)</f>
        <v>895.07</v>
      </c>
      <c r="Q105" s="2"/>
      <c r="R105" s="6">
        <f t="shared" si="24"/>
        <v>3.4673601464436411E-3</v>
      </c>
      <c r="S105" s="2"/>
      <c r="T105" s="2">
        <f>SUM(OSRRefT22_17x_0)</f>
        <v>205.15</v>
      </c>
      <c r="U105" s="2"/>
      <c r="V105" s="6">
        <f t="shared" si="25"/>
        <v>1.1135028187931701E-3</v>
      </c>
      <c r="W105" s="2"/>
      <c r="X105" s="2">
        <f t="shared" si="26"/>
        <v>689.92000000000007</v>
      </c>
      <c r="Y105" s="2"/>
      <c r="Z105" s="6">
        <f t="shared" si="27"/>
        <v>3.3630026809651477</v>
      </c>
    </row>
    <row r="106" spans="1:26" s="69" customFormat="1" ht="15" hidden="1" customHeight="1" outlineLevel="2" x14ac:dyDescent="0.3">
      <c r="A106" s="26"/>
      <c r="B106" s="12" t="str">
        <f>CONCATENATE("          ","6274"," - ","UTILITIES")</f>
        <v xml:space="preserve">          6274 - UTILITIES</v>
      </c>
      <c r="C106" s="12"/>
      <c r="D106" s="8">
        <v>355.65</v>
      </c>
      <c r="E106" s="3"/>
      <c r="F106" s="7">
        <f t="shared" si="20"/>
        <v>1.3252907888843261E-2</v>
      </c>
      <c r="G106" s="3"/>
      <c r="H106" s="8">
        <v>28.14</v>
      </c>
      <c r="I106" s="3"/>
      <c r="J106" s="7">
        <f t="shared" si="21"/>
        <v>1.3681300569519386E-3</v>
      </c>
      <c r="K106" s="3"/>
      <c r="L106" s="8">
        <f t="shared" si="22"/>
        <v>327.51</v>
      </c>
      <c r="M106" s="3"/>
      <c r="N106" s="7">
        <f t="shared" si="23"/>
        <v>11.638592750533048</v>
      </c>
      <c r="O106" s="12"/>
      <c r="P106" s="8">
        <v>895.07</v>
      </c>
      <c r="Q106" s="3"/>
      <c r="R106" s="7">
        <f t="shared" si="24"/>
        <v>3.4673601464436411E-3</v>
      </c>
      <c r="S106" s="3"/>
      <c r="T106" s="8">
        <v>205.15</v>
      </c>
      <c r="U106" s="3"/>
      <c r="V106" s="7">
        <f t="shared" si="25"/>
        <v>1.1135028187931701E-3</v>
      </c>
      <c r="W106" s="3"/>
      <c r="X106" s="8">
        <f t="shared" si="26"/>
        <v>689.92000000000007</v>
      </c>
      <c r="Y106" s="3"/>
      <c r="Z106" s="7">
        <f t="shared" si="27"/>
        <v>3.3630026809651477</v>
      </c>
    </row>
    <row r="107" spans="1:26" s="64" customFormat="1" ht="15" customHeight="1" x14ac:dyDescent="0.3">
      <c r="A107" s="36"/>
      <c r="B107" s="36"/>
      <c r="C107" s="36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3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62" customFormat="1" ht="15" customHeight="1" x14ac:dyDescent="0.3">
      <c r="A108" s="11"/>
      <c r="B108" s="27" t="s">
        <v>290</v>
      </c>
      <c r="C108" s="11"/>
      <c r="D108" s="5">
        <f>SUM(0)</f>
        <v>0</v>
      </c>
      <c r="E108" s="5"/>
      <c r="F108" s="13">
        <f>IF(D$12=0,0,D108/D$12)</f>
        <v>0</v>
      </c>
      <c r="G108" s="5"/>
      <c r="H108" s="5">
        <f>SUM(0)</f>
        <v>0</v>
      </c>
      <c r="I108" s="5"/>
      <c r="J108" s="13">
        <f>IF(H$12=0,0,H108/H$12)</f>
        <v>0</v>
      </c>
      <c r="K108" s="5"/>
      <c r="L108" s="5">
        <f>+D108-H108</f>
        <v>0</v>
      </c>
      <c r="M108" s="5"/>
      <c r="N108" s="13">
        <f>IF(H108=0,0,L108/H108)</f>
        <v>0</v>
      </c>
      <c r="O108" s="11"/>
      <c r="P108" s="5">
        <f>SUM(0)</f>
        <v>0</v>
      </c>
      <c r="Q108" s="5"/>
      <c r="R108" s="13">
        <f>IF(P$12=0,0,P108/P$12)</f>
        <v>0</v>
      </c>
      <c r="S108" s="5"/>
      <c r="T108" s="5">
        <f>SUM(0)</f>
        <v>0</v>
      </c>
      <c r="U108" s="5"/>
      <c r="V108" s="13">
        <f>IF(T$12=0,0,T108/T$12)</f>
        <v>0</v>
      </c>
      <c r="W108" s="5"/>
      <c r="X108" s="5">
        <f>+P108-T108</f>
        <v>0</v>
      </c>
      <c r="Y108" s="5"/>
      <c r="Z108" s="13">
        <f>IF(T108=0,0,X108/T108)</f>
        <v>0</v>
      </c>
    </row>
    <row r="109" spans="1:26" ht="15" customHeight="1" x14ac:dyDescent="0.3">
      <c r="A109" s="10"/>
      <c r="B109" s="11"/>
      <c r="C109" s="11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O109" s="11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291</v>
      </c>
      <c r="C110" s="28"/>
      <c r="D110" s="23">
        <f>+D48-D50+D108</f>
        <v>-1705.8000000000011</v>
      </c>
      <c r="E110" s="15"/>
      <c r="F110" s="22">
        <f>IF(D$12=0,0,D110/D$12)</f>
        <v>-6.3564769511567129E-2</v>
      </c>
      <c r="G110" s="15"/>
      <c r="H110" s="23">
        <f>+H48-H50+H108</f>
        <v>-7940.32</v>
      </c>
      <c r="I110" s="15"/>
      <c r="J110" s="22">
        <f>IF(H$12=0,0,H110/H$12)</f>
        <v>-0.3860479905407469</v>
      </c>
      <c r="K110" s="17"/>
      <c r="L110" s="23">
        <f>+D110-H110</f>
        <v>6234.5199999999986</v>
      </c>
      <c r="M110" s="17"/>
      <c r="N110" s="22">
        <f>IF(H110=0,0,L110/H110)</f>
        <v>-0.78517238599955652</v>
      </c>
      <c r="O110" s="27"/>
      <c r="P110" s="23">
        <f>+P48-P50+P108</f>
        <v>-185.36000000010245</v>
      </c>
      <c r="Q110" s="15"/>
      <c r="R110" s="22">
        <f>IF(P$12=0,0,P110/P$12)</f>
        <v>-7.1805543336850579E-4</v>
      </c>
      <c r="S110" s="15"/>
      <c r="T110" s="23">
        <f>+T48-T50+T108</f>
        <v>-69876.009999999951</v>
      </c>
      <c r="U110" s="15"/>
      <c r="V110" s="22">
        <f>IF(T$12=0,0,T110/T$12)</f>
        <v>-0.37926948136007643</v>
      </c>
      <c r="W110" s="17"/>
      <c r="X110" s="23">
        <f>+P110-T110</f>
        <v>69690.649999999849</v>
      </c>
      <c r="Y110" s="17"/>
      <c r="Z110" s="22">
        <f>IF(T110=0,0,X110/T110)</f>
        <v>-0.99734730131270943</v>
      </c>
    </row>
    <row r="111" spans="1:26" ht="15" customHeight="1" x14ac:dyDescent="0.3">
      <c r="A111" s="10"/>
      <c r="B111" s="11"/>
      <c r="C111" s="10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2" customFormat="1" ht="15" customHeight="1" x14ac:dyDescent="0.3">
      <c r="A112" s="48"/>
      <c r="B112" s="11" t="s">
        <v>292</v>
      </c>
      <c r="C112" s="11"/>
      <c r="D112" s="5">
        <v>1604.57</v>
      </c>
      <c r="E112" s="5"/>
      <c r="F112" s="13">
        <f>IF(D$12=0,0,D112/D$12)</f>
        <v>5.9792544386900695E-2</v>
      </c>
      <c r="G112" s="5"/>
      <c r="H112" s="5">
        <v>6775.33</v>
      </c>
      <c r="I112" s="5"/>
      <c r="J112" s="13">
        <f>IF(H$12=0,0,H112/H$12)</f>
        <v>0.32940769789510227</v>
      </c>
      <c r="K112" s="5"/>
      <c r="L112" s="5">
        <f>+D112-H112</f>
        <v>-5170.76</v>
      </c>
      <c r="M112" s="5"/>
      <c r="N112" s="13">
        <f>IF(H112=0,0,L112/H112)</f>
        <v>-0.76317463503622707</v>
      </c>
      <c r="O112" s="11"/>
      <c r="P112" s="5">
        <v>32221.94</v>
      </c>
      <c r="Q112" s="5"/>
      <c r="R112" s="13">
        <f>IF(P$12=0,0,P112/P$12)</f>
        <v>0.12482271844335997</v>
      </c>
      <c r="S112" s="5"/>
      <c r="T112" s="5">
        <v>36485.800000000003</v>
      </c>
      <c r="U112" s="5"/>
      <c r="V112" s="13">
        <f>IF(T$12=0,0,T112/T$12)</f>
        <v>0.19803578428429855</v>
      </c>
      <c r="W112" s="5"/>
      <c r="X112" s="5">
        <f>+P112-T112</f>
        <v>-4263.8600000000042</v>
      </c>
      <c r="Y112" s="5"/>
      <c r="Z112" s="13">
        <f>IF(T112=0,0,X112/T112)</f>
        <v>-0.11686354691414205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2" customFormat="1" ht="15" customHeight="1" x14ac:dyDescent="0.3">
      <c r="A114" s="11"/>
      <c r="B114" s="28" t="s">
        <v>293</v>
      </c>
      <c r="C114" s="28"/>
      <c r="D114" s="33">
        <f>+D110-D112</f>
        <v>-3310.3700000000008</v>
      </c>
      <c r="E114" s="15"/>
      <c r="F114" s="34">
        <f>IF(D$12=0,0,D114/D$12)</f>
        <v>-0.12335731389846782</v>
      </c>
      <c r="G114" s="15"/>
      <c r="H114" s="33">
        <f>+H110-H112</f>
        <v>-14715.65</v>
      </c>
      <c r="I114" s="15"/>
      <c r="J114" s="34">
        <f>IF(H$12=0,0,H114/H$12)</f>
        <v>-0.71545568843584917</v>
      </c>
      <c r="K114" s="17"/>
      <c r="L114" s="33">
        <f>D114-H114</f>
        <v>11405.279999999999</v>
      </c>
      <c r="M114" s="17"/>
      <c r="N114" s="34">
        <f>IF(H114=0,0,L114/H114)</f>
        <v>-0.77504425560542678</v>
      </c>
      <c r="O114" s="27"/>
      <c r="P114" s="33">
        <f>+P110-P112</f>
        <v>-32407.300000000101</v>
      </c>
      <c r="Q114" s="15"/>
      <c r="R114" s="34">
        <f>IF(P$12=0,0,P114/P$12)</f>
        <v>-0.12554077387672849</v>
      </c>
      <c r="S114" s="15"/>
      <c r="T114" s="33">
        <f>+T110-T112</f>
        <v>-106361.80999999995</v>
      </c>
      <c r="U114" s="15"/>
      <c r="V114" s="34">
        <f>IF(T$12=0,0,T114/T$12)</f>
        <v>-0.57730526564437501</v>
      </c>
      <c r="W114" s="17"/>
      <c r="X114" s="33">
        <f>P114-T114</f>
        <v>73954.509999999849</v>
      </c>
      <c r="Y114" s="17"/>
      <c r="Z114" s="34">
        <f>IF(T114=0,0,X114/T114)</f>
        <v>-0.69531075110511831</v>
      </c>
    </row>
    <row r="115" spans="1:26" ht="15" customHeight="1" x14ac:dyDescent="0.3">
      <c r="A115" s="10"/>
      <c r="B115" s="10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ht="15" customHeight="1" x14ac:dyDescent="0.3">
      <c r="A116" s="10"/>
      <c r="B116" s="10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8" t="s">
        <v>296</v>
      </c>
      <c r="C117" s="28"/>
      <c r="D117" s="35">
        <f>SUM(D114:D116)</f>
        <v>-3310.3700000000008</v>
      </c>
      <c r="E117" s="15"/>
      <c r="F117" s="29">
        <f>IF(D$12=0,0,D117/D$12)</f>
        <v>-0.12335731389846782</v>
      </c>
      <c r="G117" s="15"/>
      <c r="H117" s="35">
        <f>SUM(H114:H116)</f>
        <v>-14715.65</v>
      </c>
      <c r="I117" s="15"/>
      <c r="J117" s="29">
        <f>IF(H$12=0,0,H117/H$12)</f>
        <v>-0.71545568843584917</v>
      </c>
      <c r="K117" s="17"/>
      <c r="L117" s="35">
        <f>+D117-H117</f>
        <v>11405.279999999999</v>
      </c>
      <c r="M117" s="17"/>
      <c r="N117" s="29">
        <f>IF(H117=0,0,L117/H117)</f>
        <v>-0.77504425560542678</v>
      </c>
      <c r="O117" s="27"/>
      <c r="P117" s="35">
        <f>SUM(P114:P116)</f>
        <v>-32407.300000000101</v>
      </c>
      <c r="Q117" s="15"/>
      <c r="R117" s="29">
        <f>IF(P$12=0,0,P117/P$12)</f>
        <v>-0.12554077387672849</v>
      </c>
      <c r="S117" s="15"/>
      <c r="T117" s="35">
        <f>SUM(T114:T116)</f>
        <v>-106361.80999999995</v>
      </c>
      <c r="U117" s="15"/>
      <c r="V117" s="29">
        <f>IF(T$12=0,0,T117/T$12)</f>
        <v>-0.57730526564437501</v>
      </c>
      <c r="W117" s="17"/>
      <c r="X117" s="35">
        <f>+P117-T117</f>
        <v>73954.509999999849</v>
      </c>
      <c r="Y117" s="17"/>
      <c r="Z117" s="29">
        <f>IF(T117=0,0,X117/T117)</f>
        <v>-0.69531075110511831</v>
      </c>
    </row>
    <row r="118" spans="1:26" ht="15" customHeight="1" x14ac:dyDescent="0.3">
      <c r="A118" s="10"/>
      <c r="C118" s="10"/>
      <c r="D118" s="18"/>
      <c r="E118" s="18"/>
      <c r="G118" s="18"/>
      <c r="H118" s="18"/>
      <c r="I118" s="18"/>
      <c r="J118" s="41"/>
      <c r="K118" s="18"/>
      <c r="L118" s="18"/>
      <c r="M118" s="18"/>
      <c r="P118" s="18"/>
      <c r="Q118" s="18"/>
      <c r="R118" s="41"/>
      <c r="S118" s="18"/>
      <c r="T118" s="18"/>
      <c r="U118" s="18"/>
      <c r="V118" s="41"/>
      <c r="W118" s="18"/>
      <c r="X118" s="18"/>
    </row>
    <row r="119" spans="1:26" ht="15" customHeight="1" x14ac:dyDescent="0.3">
      <c r="A119" s="10"/>
      <c r="B119" s="50">
        <v>44634.887810300927</v>
      </c>
      <c r="D119" s="18"/>
      <c r="E119" s="18"/>
      <c r="G119" s="18"/>
      <c r="H119" s="18"/>
      <c r="I119" s="18"/>
      <c r="J119" s="41"/>
      <c r="K119" s="18"/>
      <c r="L119" s="18"/>
      <c r="M119" s="18"/>
      <c r="P119" s="18"/>
      <c r="Q119" s="18"/>
      <c r="R119" s="41"/>
      <c r="S119" s="18"/>
      <c r="T119" s="18"/>
      <c r="U119" s="18"/>
      <c r="V119" s="41"/>
      <c r="W119" s="18"/>
      <c r="X119" s="18"/>
    </row>
    <row r="120" spans="1:26" ht="15" customHeight="1" x14ac:dyDescent="0.3">
      <c r="A120" s="10"/>
      <c r="B120" s="58" t="s">
        <v>297</v>
      </c>
      <c r="D120" s="18"/>
      <c r="E120" s="18"/>
      <c r="G120" s="18"/>
      <c r="H120" s="18"/>
      <c r="I120" s="18"/>
      <c r="J120" s="41"/>
      <c r="K120" s="18"/>
      <c r="L120" s="18"/>
      <c r="M120" s="18"/>
      <c r="P120" s="18"/>
      <c r="Q120" s="18"/>
      <c r="R120" s="41"/>
      <c r="S120" s="18"/>
      <c r="T120" s="18"/>
      <c r="U120" s="18"/>
      <c r="V120" s="41"/>
      <c r="W120" s="18"/>
      <c r="X120" s="18"/>
    </row>
    <row r="121" spans="1:26" ht="15" customHeight="1" x14ac:dyDescent="0.3">
      <c r="A121" s="10"/>
      <c r="B121" s="56"/>
      <c r="D121" s="18"/>
      <c r="E121" s="18"/>
      <c r="G121" s="18"/>
      <c r="H121" s="18"/>
      <c r="I121" s="18"/>
      <c r="J121" s="41"/>
      <c r="K121" s="18"/>
      <c r="L121" s="18"/>
      <c r="M121" s="18"/>
      <c r="P121" s="18"/>
      <c r="Q121" s="18"/>
      <c r="R121" s="41"/>
      <c r="S121" s="18"/>
      <c r="T121" s="18"/>
      <c r="U121" s="18"/>
      <c r="V121" s="41"/>
      <c r="W121" s="18"/>
      <c r="X121" s="18"/>
    </row>
    <row r="122" spans="1:26" ht="15" customHeight="1" x14ac:dyDescent="0.3">
      <c r="D122" s="18"/>
      <c r="E122" s="18"/>
      <c r="G122" s="18"/>
      <c r="H122" s="18"/>
      <c r="I122" s="18"/>
      <c r="J122" s="41"/>
      <c r="K122" s="18"/>
      <c r="L122" s="18"/>
      <c r="M122" s="18"/>
      <c r="P122" s="18"/>
      <c r="Q122" s="18"/>
      <c r="R122" s="41"/>
      <c r="S122" s="18"/>
      <c r="T122" s="18"/>
      <c r="U122" s="18"/>
      <c r="V122" s="41"/>
      <c r="W122" s="18"/>
      <c r="X122" s="18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4BB81-C9F2-2FBE-43F3-9C8CA5525372}">
  <sheetPr>
    <tabColor rgb="FFFFFF0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307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24174.530000000002</v>
      </c>
      <c r="E12" s="5"/>
      <c r="F12" s="13"/>
      <c r="G12" s="5"/>
      <c r="H12" s="5">
        <f>SUM(OSRRefH13x_0)</f>
        <v>4441.8100000000013</v>
      </c>
      <c r="I12" s="5"/>
      <c r="J12" s="13"/>
      <c r="K12" s="5"/>
      <c r="L12" s="5">
        <f t="shared" ref="L12:L25" si="0">+D12-H12</f>
        <v>19732.72</v>
      </c>
      <c r="M12" s="5"/>
      <c r="N12" s="13">
        <f t="shared" ref="N12:N25" si="1">IF(H12=0,0,L12/H12)</f>
        <v>4.4424952890826024</v>
      </c>
      <c r="O12" s="11"/>
      <c r="P12" s="5">
        <f>SUM(OSRRefP13x_0)</f>
        <v>146415.98000000001</v>
      </c>
      <c r="Q12" s="5"/>
      <c r="R12" s="13"/>
      <c r="S12" s="5"/>
      <c r="T12" s="5">
        <f>SUM(OSRRefT13x_0)</f>
        <v>108848.03</v>
      </c>
      <c r="U12" s="5"/>
      <c r="V12" s="13"/>
      <c r="W12" s="5"/>
      <c r="X12" s="5">
        <f t="shared" ref="X12:X25" si="2">+P12-T12</f>
        <v>37567.950000000012</v>
      </c>
      <c r="Y12" s="5"/>
      <c r="Z12" s="13">
        <f t="shared" ref="Z12:Z25" si="3">IF(T12=0,0,X12/T12)</f>
        <v>0.34514129470234794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--17204.32</f>
        <v>17204.32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17204.32</v>
      </c>
      <c r="M13" s="3"/>
      <c r="N13" s="20">
        <f t="shared" si="1"/>
        <v>0</v>
      </c>
      <c r="O13" s="12"/>
      <c r="P13" s="3">
        <f>--117516.11</f>
        <v>117516.11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117525.39</v>
      </c>
      <c r="Y13" s="3"/>
      <c r="Z13" s="20">
        <f t="shared" si="3"/>
        <v>-12664.373922413793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--3560.25</f>
        <v>3560.25</v>
      </c>
      <c r="I14" s="3"/>
      <c r="J14" s="20"/>
      <c r="K14" s="3"/>
      <c r="L14" s="3">
        <f t="shared" si="0"/>
        <v>-3560.25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--92066.22</f>
        <v>92066.22</v>
      </c>
      <c r="U14" s="3"/>
      <c r="V14" s="20"/>
      <c r="W14" s="3"/>
      <c r="X14" s="3">
        <f t="shared" si="2"/>
        <v>-92066.22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--603.05</f>
        <v>603.04999999999995</v>
      </c>
      <c r="I15" s="3"/>
      <c r="J15" s="20"/>
      <c r="K15" s="3"/>
      <c r="L15" s="3">
        <f t="shared" si="0"/>
        <v>-603.04999999999995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--15148.63</f>
        <v>15148.63</v>
      </c>
      <c r="U15" s="3"/>
      <c r="V15" s="20"/>
      <c r="W15" s="3"/>
      <c r="X15" s="3">
        <f t="shared" si="2"/>
        <v>-15148.63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--3.47</f>
        <v>3.47</v>
      </c>
      <c r="I16" s="3"/>
      <c r="J16" s="20"/>
      <c r="K16" s="3"/>
      <c r="L16" s="3">
        <f t="shared" si="0"/>
        <v>-3.47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--37.78</f>
        <v>37.78</v>
      </c>
      <c r="U16" s="3"/>
      <c r="V16" s="20"/>
      <c r="W16" s="3"/>
      <c r="X16" s="3">
        <f t="shared" si="2"/>
        <v>-37.78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--139.85</f>
        <v>139.85</v>
      </c>
      <c r="I17" s="3"/>
      <c r="J17" s="20"/>
      <c r="K17" s="3"/>
      <c r="L17" s="3">
        <f t="shared" si="0"/>
        <v>-139.85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--139.85</f>
        <v>139.85</v>
      </c>
      <c r="U17" s="3"/>
      <c r="V17" s="20"/>
      <c r="W17" s="3"/>
      <c r="X17" s="3">
        <f t="shared" si="2"/>
        <v>-139.85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--7098.56</f>
        <v>7098.56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7098.56</v>
      </c>
      <c r="M18" s="3"/>
      <c r="N18" s="20">
        <f t="shared" si="1"/>
        <v>0</v>
      </c>
      <c r="O18" s="12"/>
      <c r="P18" s="3">
        <f>--29586.62</f>
        <v>29586.62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29586.62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--50.39</f>
        <v>50.39</v>
      </c>
      <c r="I19" s="3"/>
      <c r="J19" s="20"/>
      <c r="K19" s="3"/>
      <c r="L19" s="3">
        <f t="shared" si="0"/>
        <v>-50.39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--1278.64</f>
        <v>1278.6400000000001</v>
      </c>
      <c r="U19" s="3"/>
      <c r="V19" s="20"/>
      <c r="W19" s="3"/>
      <c r="X19" s="3">
        <f t="shared" si="2"/>
        <v>-1278.6400000000001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--1110.59</f>
        <v>1110.5899999999999</v>
      </c>
      <c r="U20" s="3"/>
      <c r="V20" s="20"/>
      <c r="W20" s="3"/>
      <c r="X20" s="3">
        <f t="shared" si="2"/>
        <v>-1110.5899999999999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--67.8</f>
        <v>67.8</v>
      </c>
      <c r="I21" s="3"/>
      <c r="J21" s="20"/>
      <c r="K21" s="3"/>
      <c r="L21" s="3">
        <f t="shared" si="0"/>
        <v>-67.8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--208.4</f>
        <v>208.4</v>
      </c>
      <c r="U21" s="3"/>
      <c r="V21" s="20"/>
      <c r="W21" s="3"/>
      <c r="X21" s="3">
        <f t="shared" si="2"/>
        <v>-208.4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--17</f>
        <v>17</v>
      </c>
      <c r="I22" s="3"/>
      <c r="J22" s="20"/>
      <c r="K22" s="3"/>
      <c r="L22" s="3">
        <f t="shared" si="0"/>
        <v>-17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--132.5</f>
        <v>132.5</v>
      </c>
      <c r="U22" s="3"/>
      <c r="V22" s="20"/>
      <c r="W22" s="3"/>
      <c r="X22" s="3">
        <f t="shared" si="2"/>
        <v>-132.5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-128.35</f>
        <v>-128.35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-128.35</v>
      </c>
      <c r="M23" s="3"/>
      <c r="N23" s="20">
        <f t="shared" si="1"/>
        <v>0</v>
      </c>
      <c r="O23" s="12"/>
      <c r="P23" s="3">
        <f>-686.75</f>
        <v>-686.75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-686.75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-1254.1</f>
        <v>-1254.0999999999999</v>
      </c>
      <c r="U24" s="3"/>
      <c r="V24" s="20"/>
      <c r="W24" s="3"/>
      <c r="X24" s="3">
        <f t="shared" si="2"/>
        <v>1254.0999999999999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5.641460720339405E-5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","5092"," - ","PURCHASES @ COST-GRAD MERCH")</f>
        <v xml:space="preserve">          5092 - PURCHASES @ COST-GRAD MERCH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/>
      <c r="Q28" s="3"/>
      <c r="R28" s="20">
        <f>IF(P$12=0,0,P28/P$12)</f>
        <v>0</v>
      </c>
      <c r="S28" s="3"/>
      <c r="T28" s="3">
        <v>0</v>
      </c>
      <c r="U28" s="3"/>
      <c r="V28" s="20">
        <f>IF(T$12=0,0,T28/T$12)</f>
        <v>0</v>
      </c>
      <c r="W28" s="3"/>
      <c r="X28" s="3">
        <f>+P28-T28</f>
        <v>0</v>
      </c>
      <c r="Y28" s="3"/>
      <c r="Z28" s="20">
        <f>IF(T28=0,0,X28/T28)</f>
        <v>0</v>
      </c>
    </row>
    <row r="29" spans="1:26" s="69" customFormat="1" ht="15" hidden="1" customHeight="1" outlineLevel="1" x14ac:dyDescent="0.3">
      <c r="A29" s="42"/>
      <c r="B29" s="12" t="str">
        <f>CONCATENATE("          ","5500"," - ","FREIGHT-IN")</f>
        <v xml:space="preserve">          5500 - FREIGHT-IN</v>
      </c>
      <c r="C29" s="12"/>
      <c r="D29" s="3"/>
      <c r="E29" s="3"/>
      <c r="F29" s="20">
        <f>IF(D$12=0,0,D29/D$12)</f>
        <v>0</v>
      </c>
      <c r="G29" s="3"/>
      <c r="H29" s="3"/>
      <c r="I29" s="3"/>
      <c r="J29" s="20">
        <f>IF(H$12=0,0,H29/H$12)</f>
        <v>0</v>
      </c>
      <c r="K29" s="3"/>
      <c r="L29" s="3">
        <f>+D29-H29</f>
        <v>0</v>
      </c>
      <c r="M29" s="3"/>
      <c r="N29" s="20">
        <f>IF(H29=0,0,L29/H29)</f>
        <v>0</v>
      </c>
      <c r="O29" s="12"/>
      <c r="P29" s="3">
        <v>8.26</v>
      </c>
      <c r="Q29" s="3"/>
      <c r="R29" s="20">
        <f>IF(P$12=0,0,P29/P$12)</f>
        <v>5.641460720339405E-5</v>
      </c>
      <c r="S29" s="3"/>
      <c r="T29" s="3"/>
      <c r="U29" s="3"/>
      <c r="V29" s="20">
        <f>IF(T$12=0,0,T29/T$12)</f>
        <v>0</v>
      </c>
      <c r="W29" s="3"/>
      <c r="X29" s="3">
        <f>+P29-T29</f>
        <v>8.26</v>
      </c>
      <c r="Y29" s="3"/>
      <c r="Z29" s="20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","5592"," - ","FREIGHT-IN-GRAD MERCH")</f>
        <v xml:space="preserve">          5592 - FREIGHT-IN-GRAD MERCH</v>
      </c>
      <c r="C30" s="12"/>
      <c r="D30" s="3"/>
      <c r="E30" s="3"/>
      <c r="F30" s="20">
        <f>IF(D$12=0,0,D30/D$12)</f>
        <v>0</v>
      </c>
      <c r="G30" s="3"/>
      <c r="H30" s="3"/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/>
      <c r="Q30" s="3"/>
      <c r="R30" s="20">
        <f>IF(P$12=0,0,P30/P$12)</f>
        <v>0</v>
      </c>
      <c r="S30" s="3"/>
      <c r="T30" s="3"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288</v>
      </c>
      <c r="C32" s="28"/>
      <c r="D32" s="23">
        <f>D12-D27</f>
        <v>24174.530000000002</v>
      </c>
      <c r="E32" s="15"/>
      <c r="F32" s="22">
        <f>IF(D$12=0,0,D32/D$12)</f>
        <v>1</v>
      </c>
      <c r="G32" s="15"/>
      <c r="H32" s="23">
        <f>H12-H27</f>
        <v>4441.8100000000013</v>
      </c>
      <c r="I32" s="15"/>
      <c r="J32" s="22">
        <f>IF(H$12=0,0,H32/H$12)</f>
        <v>1</v>
      </c>
      <c r="K32" s="17"/>
      <c r="L32" s="23">
        <f>+D32-H32</f>
        <v>19732.72</v>
      </c>
      <c r="M32" s="17"/>
      <c r="N32" s="22">
        <f>IF(H32=0,0,L32/H32)</f>
        <v>4.4424952890826024</v>
      </c>
      <c r="O32" s="27"/>
      <c r="P32" s="23">
        <f>P12-P27</f>
        <v>146407.72</v>
      </c>
      <c r="Q32" s="15"/>
      <c r="R32" s="22">
        <f>IF(P$12=0,0,P32/P$12)</f>
        <v>0.9999435853927966</v>
      </c>
      <c r="S32" s="15"/>
      <c r="T32" s="23">
        <f>T12-T27</f>
        <v>108848.03</v>
      </c>
      <c r="U32" s="15"/>
      <c r="V32" s="22">
        <f>IF(T$12=0,0,T32/T$12)</f>
        <v>1</v>
      </c>
      <c r="W32" s="17"/>
      <c r="X32" s="23">
        <f>+P32-T32</f>
        <v>37559.69</v>
      </c>
      <c r="Y32" s="17"/>
      <c r="Z32" s="22">
        <f>IF(T32=0,0,X32/T32)</f>
        <v>0.34506540908457417</v>
      </c>
    </row>
    <row r="33" spans="1:26" ht="15" customHeight="1" x14ac:dyDescent="0.3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3">
      <c r="A34" s="11"/>
      <c r="B34" s="27" t="s">
        <v>289</v>
      </c>
      <c r="C34" s="11"/>
      <c r="D34" s="21" cm="1">
        <f t="array" ref="D34">SUM(OSRRefD22x_0)</f>
        <v>20936.3</v>
      </c>
      <c r="E34" s="21"/>
      <c r="F34" s="30">
        <f t="shared" ref="F34:F76" si="4">IF(D$12=0,0,D34/D$12)</f>
        <v>0.8660478611166379</v>
      </c>
      <c r="G34" s="21"/>
      <c r="H34" s="21" cm="1">
        <f t="array" ref="H34">SUM(OSRRefH22x_0)</f>
        <v>27592.659999999993</v>
      </c>
      <c r="I34" s="21"/>
      <c r="J34" s="30">
        <f t="shared" ref="J34:J76" si="5">IF(H$12=0,0,H34/H$12)</f>
        <v>6.2120306811862696</v>
      </c>
      <c r="K34" s="5"/>
      <c r="L34" s="21">
        <f t="shared" ref="L34:L76" si="6">+D34-H34</f>
        <v>-6656.3599999999933</v>
      </c>
      <c r="M34" s="5"/>
      <c r="N34" s="30">
        <f t="shared" ref="N34:N76" si="7">IF(H34=0,0,L34/H34)</f>
        <v>-0.24123661872396482</v>
      </c>
      <c r="O34" s="11"/>
      <c r="P34" s="21" cm="1">
        <f t="array" ref="P34">SUM(OSRRefP22x_0)</f>
        <v>182985.96000000002</v>
      </c>
      <c r="Q34" s="21"/>
      <c r="R34" s="30">
        <f t="shared" ref="R34:R76" si="8">IF(P$12=0,0,P34/P$12)</f>
        <v>1.2497676824619828</v>
      </c>
      <c r="S34" s="21"/>
      <c r="T34" s="21" cm="1">
        <f t="array" ref="T34">SUM(OSRRefT22x_0)</f>
        <v>237824.40999999995</v>
      </c>
      <c r="U34" s="21"/>
      <c r="V34" s="30">
        <f t="shared" ref="V34:V76" si="9">IF(T$12=0,0,T34/T$12)</f>
        <v>2.1849215828710906</v>
      </c>
      <c r="W34" s="5"/>
      <c r="X34" s="21">
        <f t="shared" ref="X34:X76" si="10">+P34-T34</f>
        <v>-54838.449999999924</v>
      </c>
      <c r="Y34" s="5"/>
      <c r="Z34" s="30">
        <f t="shared" ref="Z34:Z76" si="11">IF(T34=0,0,X34/T34)</f>
        <v>-0.23058377397004765</v>
      </c>
    </row>
    <row r="35" spans="1:26" s="68" customFormat="1" ht="15" customHeight="1" outlineLevel="1" collapsed="1" x14ac:dyDescent="0.3">
      <c r="A35" s="25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4515.66</v>
      </c>
      <c r="E35" s="2"/>
      <c r="F35" s="6">
        <f t="shared" si="4"/>
        <v>0.18679411761055953</v>
      </c>
      <c r="G35" s="2"/>
      <c r="H35" s="2">
        <f>SUM(OSRRefH22_0x_0)</f>
        <v>8802.75</v>
      </c>
      <c r="I35" s="2"/>
      <c r="J35" s="6">
        <f t="shared" si="5"/>
        <v>1.9817934580722718</v>
      </c>
      <c r="K35" s="2"/>
      <c r="L35" s="2">
        <f t="shared" si="6"/>
        <v>-4287.09</v>
      </c>
      <c r="M35" s="2"/>
      <c r="N35" s="6">
        <f t="shared" si="7"/>
        <v>-0.48701712533015251</v>
      </c>
      <c r="O35" s="14"/>
      <c r="P35" s="2">
        <f>SUM(OSRRefP22_0x_0)</f>
        <v>62759.21</v>
      </c>
      <c r="Q35" s="2"/>
      <c r="R35" s="6">
        <f t="shared" si="8"/>
        <v>0.42863634147037771</v>
      </c>
      <c r="S35" s="2"/>
      <c r="T35" s="2">
        <f>SUM(OSRRefT22_0x_0)</f>
        <v>75487.97</v>
      </c>
      <c r="U35" s="2"/>
      <c r="V35" s="6">
        <f t="shared" si="9"/>
        <v>0.69351709902328962</v>
      </c>
      <c r="W35" s="2"/>
      <c r="X35" s="2">
        <f t="shared" si="10"/>
        <v>-12728.760000000002</v>
      </c>
      <c r="Y35" s="2"/>
      <c r="Z35" s="6">
        <f t="shared" si="11"/>
        <v>-0.16861971516786053</v>
      </c>
    </row>
    <row r="36" spans="1:26" s="69" customFormat="1" ht="15" hidden="1" customHeight="1" outlineLevel="2" x14ac:dyDescent="0.3">
      <c r="A36" s="26"/>
      <c r="B36" s="12" t="str">
        <f>CONCATENATE("          ","6111"," - ","F.I.C.A.")</f>
        <v xml:space="preserve">          6111 - F.I.C.A.</v>
      </c>
      <c r="C36" s="12"/>
      <c r="D36" s="8">
        <v>665.6</v>
      </c>
      <c r="E36" s="3"/>
      <c r="F36" s="7">
        <f t="shared" si="4"/>
        <v>2.7533110261088838E-2</v>
      </c>
      <c r="G36" s="3"/>
      <c r="H36" s="8">
        <v>1213.6400000000001</v>
      </c>
      <c r="I36" s="3"/>
      <c r="J36" s="7">
        <f t="shared" si="5"/>
        <v>0.27323095765014704</v>
      </c>
      <c r="K36" s="3"/>
      <c r="L36" s="8">
        <f t="shared" si="6"/>
        <v>-548.04000000000008</v>
      </c>
      <c r="M36" s="3"/>
      <c r="N36" s="7">
        <f t="shared" si="7"/>
        <v>-0.45156718631554665</v>
      </c>
      <c r="O36" s="12"/>
      <c r="P36" s="8">
        <v>10509.21</v>
      </c>
      <c r="Q36" s="3"/>
      <c r="R36" s="7">
        <f t="shared" si="8"/>
        <v>7.1776386703145373E-2</v>
      </c>
      <c r="S36" s="3"/>
      <c r="T36" s="8">
        <v>10254.049999999999</v>
      </c>
      <c r="U36" s="3"/>
      <c r="V36" s="7">
        <f t="shared" si="9"/>
        <v>9.4205195996656985E-2</v>
      </c>
      <c r="W36" s="3"/>
      <c r="X36" s="8">
        <f t="shared" si="10"/>
        <v>255.15999999999985</v>
      </c>
      <c r="Y36" s="3"/>
      <c r="Z36" s="7">
        <f t="shared" si="11"/>
        <v>2.4883826390548112E-2</v>
      </c>
    </row>
    <row r="37" spans="1:26" s="69" customFormat="1" ht="15" hidden="1" customHeight="1" outlineLevel="2" x14ac:dyDescent="0.3">
      <c r="A37" s="26"/>
      <c r="B37" s="12" t="str">
        <f>CONCATENATE("          ","6112"," - ","COMPENSATION INSURANCE")</f>
        <v xml:space="preserve">          6112 - COMPENSATION INSURANCE</v>
      </c>
      <c r="C37" s="12"/>
      <c r="D37" s="8">
        <v>179.21</v>
      </c>
      <c r="E37" s="3"/>
      <c r="F37" s="7">
        <f t="shared" si="4"/>
        <v>7.4131741134160619E-3</v>
      </c>
      <c r="G37" s="3"/>
      <c r="H37" s="8">
        <v>313.57</v>
      </c>
      <c r="I37" s="3"/>
      <c r="J37" s="7">
        <f t="shared" si="5"/>
        <v>7.0595095242705089E-2</v>
      </c>
      <c r="K37" s="3"/>
      <c r="L37" s="8">
        <f t="shared" si="6"/>
        <v>-134.35999999999999</v>
      </c>
      <c r="M37" s="3"/>
      <c r="N37" s="7">
        <f t="shared" si="7"/>
        <v>-0.42848486781260958</v>
      </c>
      <c r="O37" s="12"/>
      <c r="P37" s="8">
        <v>2354.13</v>
      </c>
      <c r="Q37" s="3"/>
      <c r="R37" s="7">
        <f t="shared" si="8"/>
        <v>1.6078367948635115E-2</v>
      </c>
      <c r="S37" s="3"/>
      <c r="T37" s="8">
        <v>2718.6</v>
      </c>
      <c r="U37" s="3"/>
      <c r="V37" s="7">
        <f t="shared" si="9"/>
        <v>2.49761065955902E-2</v>
      </c>
      <c r="W37" s="3"/>
      <c r="X37" s="8">
        <f t="shared" si="10"/>
        <v>-364.4699999999998</v>
      </c>
      <c r="Y37" s="3"/>
      <c r="Z37" s="7">
        <f t="shared" si="11"/>
        <v>-0.13406532774222019</v>
      </c>
    </row>
    <row r="38" spans="1:26" s="69" customFormat="1" ht="15" hidden="1" customHeight="1" outlineLevel="2" x14ac:dyDescent="0.3">
      <c r="A38" s="26"/>
      <c r="B38" s="12" t="str">
        <f>CONCATENATE("          ","6113"," - ","GROUP INSURANCE")</f>
        <v xml:space="preserve">          6113 - GROUP INSURANCE</v>
      </c>
      <c r="C38" s="12"/>
      <c r="D38" s="8">
        <v>1287</v>
      </c>
      <c r="E38" s="3"/>
      <c r="F38" s="7">
        <f t="shared" si="4"/>
        <v>5.3237849918902243E-2</v>
      </c>
      <c r="G38" s="3"/>
      <c r="H38" s="8">
        <v>3421.48</v>
      </c>
      <c r="I38" s="3"/>
      <c r="J38" s="7">
        <f t="shared" si="5"/>
        <v>0.77028958915397083</v>
      </c>
      <c r="K38" s="3"/>
      <c r="L38" s="8">
        <f t="shared" si="6"/>
        <v>-2134.48</v>
      </c>
      <c r="M38" s="3"/>
      <c r="N38" s="7">
        <f t="shared" si="7"/>
        <v>-0.62384699019137912</v>
      </c>
      <c r="O38" s="12"/>
      <c r="P38" s="8">
        <v>20460.02</v>
      </c>
      <c r="Q38" s="3"/>
      <c r="R38" s="7">
        <f t="shared" si="8"/>
        <v>0.13973898204280708</v>
      </c>
      <c r="S38" s="3"/>
      <c r="T38" s="8">
        <v>29214.29</v>
      </c>
      <c r="U38" s="3"/>
      <c r="V38" s="7">
        <f t="shared" si="9"/>
        <v>0.26839521119491094</v>
      </c>
      <c r="W38" s="3"/>
      <c r="X38" s="8">
        <f t="shared" si="10"/>
        <v>-8754.27</v>
      </c>
      <c r="Y38" s="3"/>
      <c r="Z38" s="7">
        <f t="shared" si="11"/>
        <v>-0.29965711985470123</v>
      </c>
    </row>
    <row r="39" spans="1:26" s="69" customFormat="1" ht="15" hidden="1" customHeight="1" outlineLevel="2" x14ac:dyDescent="0.3">
      <c r="A39" s="26"/>
      <c r="B39" s="12" t="str">
        <f>CONCATENATE("          ","6114"," - ","STATE UNEMPLOYMENT INSURANCE")</f>
        <v xml:space="preserve">          6114 - STATE UNEMPLOYMENT INSURANCE</v>
      </c>
      <c r="C39" s="12"/>
      <c r="D39" s="8">
        <v>31.48</v>
      </c>
      <c r="E39" s="3"/>
      <c r="F39" s="7">
        <f t="shared" si="4"/>
        <v>1.3021969816993338E-3</v>
      </c>
      <c r="G39" s="3"/>
      <c r="H39" s="8">
        <v>44.07</v>
      </c>
      <c r="I39" s="3"/>
      <c r="J39" s="7">
        <f t="shared" si="5"/>
        <v>9.9216310468029888E-3</v>
      </c>
      <c r="K39" s="3"/>
      <c r="L39" s="8">
        <f t="shared" si="6"/>
        <v>-12.59</v>
      </c>
      <c r="M39" s="3"/>
      <c r="N39" s="7">
        <f t="shared" si="7"/>
        <v>-0.28568186975266618</v>
      </c>
      <c r="O39" s="12"/>
      <c r="P39" s="8">
        <v>413.56</v>
      </c>
      <c r="Q39" s="3"/>
      <c r="R39" s="7">
        <f t="shared" si="8"/>
        <v>2.8245550793021359E-3</v>
      </c>
      <c r="S39" s="3"/>
      <c r="T39" s="8">
        <v>382.06</v>
      </c>
      <c r="U39" s="3"/>
      <c r="V39" s="7">
        <f t="shared" si="9"/>
        <v>3.5100313712613817E-3</v>
      </c>
      <c r="W39" s="3"/>
      <c r="X39" s="8">
        <f t="shared" si="10"/>
        <v>31.5</v>
      </c>
      <c r="Y39" s="3"/>
      <c r="Z39" s="7">
        <f t="shared" si="11"/>
        <v>8.244778307072187E-2</v>
      </c>
    </row>
    <row r="40" spans="1:26" s="69" customFormat="1" ht="15" hidden="1" customHeight="1" outlineLevel="2" x14ac:dyDescent="0.3">
      <c r="A40" s="26"/>
      <c r="B40" s="12" t="str">
        <f>CONCATENATE("          ","6115"," - ","P.E.R.S.")</f>
        <v xml:space="preserve">          6115 - P.E.R.S.</v>
      </c>
      <c r="C40" s="12"/>
      <c r="D40" s="8">
        <v>811.71</v>
      </c>
      <c r="E40" s="3"/>
      <c r="F40" s="7">
        <f t="shared" si="4"/>
        <v>3.3577074714585972E-2</v>
      </c>
      <c r="G40" s="3"/>
      <c r="H40" s="8">
        <v>1614.45</v>
      </c>
      <c r="I40" s="3"/>
      <c r="J40" s="7">
        <f t="shared" si="5"/>
        <v>0.36346669488339206</v>
      </c>
      <c r="K40" s="3"/>
      <c r="L40" s="8">
        <f t="shared" si="6"/>
        <v>-802.74</v>
      </c>
      <c r="M40" s="3"/>
      <c r="N40" s="7">
        <f t="shared" si="7"/>
        <v>-0.49722196413639319</v>
      </c>
      <c r="O40" s="12"/>
      <c r="P40" s="8">
        <v>13291.83</v>
      </c>
      <c r="Q40" s="3"/>
      <c r="R40" s="7">
        <f t="shared" si="8"/>
        <v>9.0781279475095539E-2</v>
      </c>
      <c r="S40" s="3"/>
      <c r="T40" s="8">
        <v>14100.34</v>
      </c>
      <c r="U40" s="3"/>
      <c r="V40" s="7">
        <f t="shared" si="9"/>
        <v>0.12954152684251613</v>
      </c>
      <c r="W40" s="3"/>
      <c r="X40" s="8">
        <f t="shared" si="10"/>
        <v>-808.51000000000022</v>
      </c>
      <c r="Y40" s="3"/>
      <c r="Z40" s="7">
        <f t="shared" si="11"/>
        <v>-5.7339752091084342E-2</v>
      </c>
    </row>
    <row r="41" spans="1:26" s="69" customFormat="1" ht="15" hidden="1" customHeight="1" outlineLevel="2" x14ac:dyDescent="0.3">
      <c r="A41" s="26"/>
      <c r="B41" s="12" t="str">
        <f>CONCATENATE("          ","6118"," - ","VACATION")</f>
        <v xml:space="preserve">          6118 - VACATION</v>
      </c>
      <c r="C41" s="12"/>
      <c r="D41" s="8">
        <v>640.52</v>
      </c>
      <c r="E41" s="3"/>
      <c r="F41" s="7">
        <f t="shared" si="4"/>
        <v>2.6495654724207663E-2</v>
      </c>
      <c r="G41" s="3"/>
      <c r="H41" s="8">
        <v>1216.0999999999999</v>
      </c>
      <c r="I41" s="3"/>
      <c r="J41" s="7">
        <f t="shared" si="5"/>
        <v>0.27378478593186101</v>
      </c>
      <c r="K41" s="3"/>
      <c r="L41" s="8">
        <f t="shared" si="6"/>
        <v>-575.57999999999993</v>
      </c>
      <c r="M41" s="3"/>
      <c r="N41" s="7">
        <f t="shared" si="7"/>
        <v>-0.47329989310089626</v>
      </c>
      <c r="O41" s="12"/>
      <c r="P41" s="8">
        <v>6884.67</v>
      </c>
      <c r="Q41" s="3"/>
      <c r="R41" s="7">
        <f t="shared" si="8"/>
        <v>4.7021301909805198E-2</v>
      </c>
      <c r="S41" s="3"/>
      <c r="T41" s="8">
        <v>10099.629999999999</v>
      </c>
      <c r="U41" s="3"/>
      <c r="V41" s="7">
        <f t="shared" si="9"/>
        <v>9.2786520803362263E-2</v>
      </c>
      <c r="W41" s="3"/>
      <c r="X41" s="8">
        <f t="shared" si="10"/>
        <v>-3214.9599999999991</v>
      </c>
      <c r="Y41" s="3"/>
      <c r="Z41" s="7">
        <f t="shared" si="11"/>
        <v>-0.31832453268090011</v>
      </c>
    </row>
    <row r="42" spans="1:26" s="69" customFormat="1" ht="15" hidden="1" customHeight="1" outlineLevel="2" x14ac:dyDescent="0.3">
      <c r="A42" s="26"/>
      <c r="B42" s="12" t="str">
        <f>CONCATENATE("          ","6119"," - ","SICK LEAVE")</f>
        <v xml:space="preserve">          6119 - SICK LEAVE</v>
      </c>
      <c r="C42" s="12"/>
      <c r="D42" s="8">
        <v>411.06</v>
      </c>
      <c r="E42" s="3"/>
      <c r="F42" s="7">
        <f t="shared" si="4"/>
        <v>1.7003846610461504E-2</v>
      </c>
      <c r="G42" s="3"/>
      <c r="H42" s="8">
        <v>738.5</v>
      </c>
      <c r="I42" s="3"/>
      <c r="J42" s="7">
        <f t="shared" si="5"/>
        <v>0.16626105123812135</v>
      </c>
      <c r="K42" s="3"/>
      <c r="L42" s="8">
        <f t="shared" si="6"/>
        <v>-327.44</v>
      </c>
      <c r="M42" s="3"/>
      <c r="N42" s="7">
        <f t="shared" si="7"/>
        <v>-0.443385240352065</v>
      </c>
      <c r="O42" s="12"/>
      <c r="P42" s="8">
        <v>5375.72</v>
      </c>
      <c r="Q42" s="3"/>
      <c r="R42" s="7">
        <f t="shared" si="8"/>
        <v>3.671539131179534E-2</v>
      </c>
      <c r="S42" s="3"/>
      <c r="T42" s="8">
        <v>6171.27</v>
      </c>
      <c r="U42" s="3"/>
      <c r="V42" s="7">
        <f t="shared" si="9"/>
        <v>5.6696202953787959E-2</v>
      </c>
      <c r="W42" s="3"/>
      <c r="X42" s="8">
        <f t="shared" si="10"/>
        <v>-795.55000000000018</v>
      </c>
      <c r="Y42" s="3"/>
      <c r="Z42" s="7">
        <f t="shared" si="11"/>
        <v>-0.12891187713388008</v>
      </c>
    </row>
    <row r="43" spans="1:26" s="69" customFormat="1" ht="15" hidden="1" customHeight="1" outlineLevel="2" x14ac:dyDescent="0.3">
      <c r="A43" s="26"/>
      <c r="B43" s="12" t="str">
        <f>CONCATENATE("          ","6156"," - ","EMPLOYEE MEALS")</f>
        <v xml:space="preserve">          6156 - EMPLOYEE MEALS</v>
      </c>
      <c r="C43" s="12"/>
      <c r="D43" s="8">
        <v>489.08</v>
      </c>
      <c r="E43" s="3"/>
      <c r="F43" s="7">
        <f t="shared" si="4"/>
        <v>2.0231210286197909E-2</v>
      </c>
      <c r="G43" s="3"/>
      <c r="H43" s="8">
        <v>240.94</v>
      </c>
      <c r="I43" s="3"/>
      <c r="J43" s="7">
        <f t="shared" si="5"/>
        <v>5.4243652925271439E-2</v>
      </c>
      <c r="K43" s="3"/>
      <c r="L43" s="8">
        <f t="shared" si="6"/>
        <v>248.14</v>
      </c>
      <c r="M43" s="3"/>
      <c r="N43" s="7">
        <f t="shared" si="7"/>
        <v>1.0298829584128828</v>
      </c>
      <c r="O43" s="12"/>
      <c r="P43" s="8">
        <v>3470.07</v>
      </c>
      <c r="Q43" s="3"/>
      <c r="R43" s="7">
        <f t="shared" si="8"/>
        <v>2.3700076999791962E-2</v>
      </c>
      <c r="S43" s="3"/>
      <c r="T43" s="8">
        <v>2547.73</v>
      </c>
      <c r="U43" s="3"/>
      <c r="V43" s="7">
        <f t="shared" si="9"/>
        <v>2.3406303265203789E-2</v>
      </c>
      <c r="W43" s="3"/>
      <c r="X43" s="8">
        <f t="shared" si="10"/>
        <v>922.34000000000015</v>
      </c>
      <c r="Y43" s="3"/>
      <c r="Z43" s="7">
        <f t="shared" si="11"/>
        <v>0.36202423333712763</v>
      </c>
    </row>
    <row r="44" spans="1:26" s="68" customFormat="1" ht="15" customHeight="1" outlineLevel="1" collapsed="1" x14ac:dyDescent="0.3">
      <c r="A44" s="25"/>
      <c r="B44" s="14" t="str">
        <f>CONCATENATE("     ","*Payroll                                          ")</f>
        <v xml:space="preserve">     *Payroll                                          </v>
      </c>
      <c r="C44" s="14"/>
      <c r="D44" s="2">
        <f>SUM(OSRRefD22_1x_0)</f>
        <v>12026.04</v>
      </c>
      <c r="E44" s="2"/>
      <c r="F44" s="6">
        <f t="shared" si="4"/>
        <v>0.49746737578765748</v>
      </c>
      <c r="G44" s="2"/>
      <c r="H44" s="2">
        <f>SUM(OSRRefH22_1x_0)</f>
        <v>15744.67</v>
      </c>
      <c r="I44" s="2"/>
      <c r="J44" s="6">
        <f t="shared" si="5"/>
        <v>3.5446518423795697</v>
      </c>
      <c r="K44" s="2"/>
      <c r="L44" s="2">
        <f t="shared" si="6"/>
        <v>-3718.6299999999992</v>
      </c>
      <c r="M44" s="2"/>
      <c r="N44" s="6">
        <f t="shared" si="7"/>
        <v>-0.23618341953181612</v>
      </c>
      <c r="O44" s="14"/>
      <c r="P44" s="2">
        <f>SUM(OSRRefP22_1x_0)</f>
        <v>113199.14000000001</v>
      </c>
      <c r="Q44" s="2"/>
      <c r="R44" s="6">
        <f t="shared" si="8"/>
        <v>0.77313377952324602</v>
      </c>
      <c r="S44" s="2"/>
      <c r="T44" s="2">
        <f>SUM(OSRRefT22_1x_0)</f>
        <v>123848.24</v>
      </c>
      <c r="U44" s="2"/>
      <c r="V44" s="6">
        <f t="shared" si="9"/>
        <v>1.1378087412330753</v>
      </c>
      <c r="W44" s="2"/>
      <c r="X44" s="2">
        <f t="shared" si="10"/>
        <v>-10649.099999999991</v>
      </c>
      <c r="Y44" s="2"/>
      <c r="Z44" s="6">
        <f t="shared" si="11"/>
        <v>-8.5985073344602966E-2</v>
      </c>
    </row>
    <row r="45" spans="1:26" s="69" customFormat="1" ht="15" hidden="1" customHeight="1" outlineLevel="2" x14ac:dyDescent="0.3">
      <c r="A45" s="26"/>
      <c r="B45" s="12" t="str">
        <f>CONCATENATE("          ","6002"," - ","STAFF SALARIES")</f>
        <v xml:space="preserve">          6002 - STAFF SALARIES</v>
      </c>
      <c r="C45" s="12"/>
      <c r="D45" s="8">
        <v>8912.0400000000009</v>
      </c>
      <c r="E45" s="3"/>
      <c r="F45" s="7">
        <f t="shared" si="4"/>
        <v>0.36865411654332059</v>
      </c>
      <c r="G45" s="3"/>
      <c r="H45" s="8">
        <v>15262.95</v>
      </c>
      <c r="I45" s="3"/>
      <c r="J45" s="7">
        <f t="shared" si="5"/>
        <v>3.4362005578806829</v>
      </c>
      <c r="K45" s="3"/>
      <c r="L45" s="8">
        <f t="shared" si="6"/>
        <v>-6350.91</v>
      </c>
      <c r="M45" s="3"/>
      <c r="N45" s="7">
        <f t="shared" si="7"/>
        <v>-0.41609977101412238</v>
      </c>
      <c r="O45" s="12"/>
      <c r="P45" s="8">
        <v>93081.85</v>
      </c>
      <c r="Q45" s="3"/>
      <c r="R45" s="7">
        <f t="shared" si="8"/>
        <v>0.63573559388804424</v>
      </c>
      <c r="S45" s="3"/>
      <c r="T45" s="8">
        <v>118009.38</v>
      </c>
      <c r="U45" s="3"/>
      <c r="V45" s="7">
        <f t="shared" si="9"/>
        <v>1.0841664291030348</v>
      </c>
      <c r="W45" s="3"/>
      <c r="X45" s="8">
        <f t="shared" si="10"/>
        <v>-24927.53</v>
      </c>
      <c r="Y45" s="3"/>
      <c r="Z45" s="7">
        <f t="shared" si="11"/>
        <v>-0.21123346296709633</v>
      </c>
    </row>
    <row r="46" spans="1:26" s="69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8"/>
      <c r="E46" s="3"/>
      <c r="F46" s="7">
        <f t="shared" si="4"/>
        <v>0</v>
      </c>
      <c r="G46" s="3"/>
      <c r="H46" s="8"/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383.25</v>
      </c>
      <c r="U46" s="3"/>
      <c r="V46" s="7">
        <f t="shared" si="9"/>
        <v>3.5209640450084398E-3</v>
      </c>
      <c r="W46" s="3"/>
      <c r="X46" s="8">
        <f t="shared" si="10"/>
        <v>-383.25</v>
      </c>
      <c r="Y46" s="3"/>
      <c r="Z46" s="7">
        <f t="shared" si="11"/>
        <v>-1</v>
      </c>
    </row>
    <row r="47" spans="1:26" s="69" customFormat="1" ht="15" hidden="1" customHeight="1" outlineLevel="2" x14ac:dyDescent="0.3">
      <c r="A47" s="26"/>
      <c r="B47" s="12" t="str">
        <f>CONCATENATE("          ","6007"," - ","STUDENT HOURLY")</f>
        <v xml:space="preserve">          6007 - STUDENT HOURLY</v>
      </c>
      <c r="C47" s="12"/>
      <c r="D47" s="8">
        <v>3114</v>
      </c>
      <c r="E47" s="3"/>
      <c r="F47" s="7">
        <f t="shared" si="4"/>
        <v>0.1288132592443369</v>
      </c>
      <c r="G47" s="3"/>
      <c r="H47" s="8">
        <v>481.72</v>
      </c>
      <c r="I47" s="3"/>
      <c r="J47" s="7">
        <f t="shared" si="5"/>
        <v>0.10845128449888669</v>
      </c>
      <c r="K47" s="3"/>
      <c r="L47" s="8">
        <f t="shared" si="6"/>
        <v>2632.2799999999997</v>
      </c>
      <c r="M47" s="3"/>
      <c r="N47" s="7">
        <f t="shared" si="7"/>
        <v>5.4643361288715431</v>
      </c>
      <c r="O47" s="12"/>
      <c r="P47" s="8">
        <v>20117.29</v>
      </c>
      <c r="Q47" s="3"/>
      <c r="R47" s="7">
        <f t="shared" si="8"/>
        <v>0.13739818563520184</v>
      </c>
      <c r="S47" s="3"/>
      <c r="T47" s="8">
        <v>5455.61</v>
      </c>
      <c r="U47" s="3"/>
      <c r="V47" s="7">
        <f t="shared" si="9"/>
        <v>5.0121348085031943E-2</v>
      </c>
      <c r="W47" s="3"/>
      <c r="X47" s="8">
        <f t="shared" si="10"/>
        <v>14661.68</v>
      </c>
      <c r="Y47" s="3"/>
      <c r="Z47" s="7">
        <f t="shared" si="11"/>
        <v>2.6874501659759407</v>
      </c>
    </row>
    <row r="48" spans="1:26" s="68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10</v>
      </c>
      <c r="E48" s="2"/>
      <c r="F48" s="6">
        <f t="shared" si="4"/>
        <v>4.1365850752837796E-4</v>
      </c>
      <c r="G48" s="2"/>
      <c r="H48" s="2">
        <f>SUM(OSRRefH22_2x_0)</f>
        <v>0</v>
      </c>
      <c r="I48" s="2"/>
      <c r="J48" s="6">
        <f t="shared" si="5"/>
        <v>0</v>
      </c>
      <c r="K48" s="2"/>
      <c r="L48" s="2">
        <f t="shared" si="6"/>
        <v>10</v>
      </c>
      <c r="M48" s="2"/>
      <c r="N48" s="6">
        <f t="shared" si="7"/>
        <v>0</v>
      </c>
      <c r="O48" s="14"/>
      <c r="P48" s="2">
        <f>SUM(OSRRefP22_2x_0)</f>
        <v>151.85</v>
      </c>
      <c r="Q48" s="2"/>
      <c r="R48" s="6">
        <f t="shared" si="8"/>
        <v>1.037113571892904E-3</v>
      </c>
      <c r="S48" s="2"/>
      <c r="T48" s="2">
        <f>SUM(OSRRefT22_2x_0)</f>
        <v>0</v>
      </c>
      <c r="U48" s="2"/>
      <c r="V48" s="6">
        <f t="shared" si="9"/>
        <v>0</v>
      </c>
      <c r="W48" s="2"/>
      <c r="X48" s="2">
        <f t="shared" si="10"/>
        <v>151.85</v>
      </c>
      <c r="Y48" s="2"/>
      <c r="Z48" s="6">
        <f t="shared" si="11"/>
        <v>0</v>
      </c>
    </row>
    <row r="49" spans="1:26" s="69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>
        <v>10</v>
      </c>
      <c r="E49" s="3"/>
      <c r="F49" s="7">
        <f t="shared" si="4"/>
        <v>4.1365850752837796E-4</v>
      </c>
      <c r="G49" s="3"/>
      <c r="H49" s="8"/>
      <c r="I49" s="3"/>
      <c r="J49" s="7">
        <f t="shared" si="5"/>
        <v>0</v>
      </c>
      <c r="K49" s="3"/>
      <c r="L49" s="8">
        <f t="shared" si="6"/>
        <v>10</v>
      </c>
      <c r="M49" s="3"/>
      <c r="N49" s="7">
        <f t="shared" si="7"/>
        <v>0</v>
      </c>
      <c r="O49" s="12"/>
      <c r="P49" s="8">
        <v>151.85</v>
      </c>
      <c r="Q49" s="3"/>
      <c r="R49" s="7">
        <f t="shared" si="8"/>
        <v>1.037113571892904E-3</v>
      </c>
      <c r="S49" s="3"/>
      <c r="T49" s="8"/>
      <c r="U49" s="3"/>
      <c r="V49" s="7">
        <f t="shared" si="9"/>
        <v>0</v>
      </c>
      <c r="W49" s="3"/>
      <c r="X49" s="8">
        <f t="shared" si="10"/>
        <v>151.85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5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SUM(OSRRefD22_3x_0)</f>
        <v>169.88</v>
      </c>
      <c r="E50" s="2"/>
      <c r="F50" s="6">
        <f t="shared" si="4"/>
        <v>7.0272307258920849E-3</v>
      </c>
      <c r="G50" s="2"/>
      <c r="H50" s="2">
        <f>SUM(OSRRefH22_3x_0)</f>
        <v>169.88</v>
      </c>
      <c r="I50" s="2"/>
      <c r="J50" s="6">
        <f t="shared" si="5"/>
        <v>3.8245670120964192E-2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SUM(OSRRefP22_3x_0)</f>
        <v>1359.04</v>
      </c>
      <c r="Q50" s="2"/>
      <c r="R50" s="6">
        <f t="shared" si="8"/>
        <v>9.2820469459686025E-3</v>
      </c>
      <c r="S50" s="2"/>
      <c r="T50" s="2">
        <f>SUM(OSRRefT22_3x_0)</f>
        <v>1359.04</v>
      </c>
      <c r="U50" s="2"/>
      <c r="V50" s="6">
        <f t="shared" si="9"/>
        <v>1.248566464638818E-2</v>
      </c>
      <c r="W50" s="2"/>
      <c r="X50" s="2">
        <f t="shared" si="10"/>
        <v>0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6"/>
      <c r="B51" s="12" t="str">
        <f>CONCATENATE("          ","6322"," - ","EQUIPMENT DEPRECIATION EXPENSE")</f>
        <v xml:space="preserve">          6322 - EQUIPMENT DEPRECIATION EXPENSE</v>
      </c>
      <c r="C51" s="12"/>
      <c r="D51" s="8">
        <v>169.88</v>
      </c>
      <c r="E51" s="3"/>
      <c r="F51" s="7">
        <f t="shared" si="4"/>
        <v>7.0272307258920849E-3</v>
      </c>
      <c r="G51" s="3"/>
      <c r="H51" s="8">
        <v>169.88</v>
      </c>
      <c r="I51" s="3"/>
      <c r="J51" s="7">
        <f t="shared" si="5"/>
        <v>3.8245670120964192E-2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>
        <v>1359.04</v>
      </c>
      <c r="Q51" s="3"/>
      <c r="R51" s="7">
        <f t="shared" si="8"/>
        <v>9.2820469459686025E-3</v>
      </c>
      <c r="S51" s="3"/>
      <c r="T51" s="8">
        <v>1359.04</v>
      </c>
      <c r="U51" s="3"/>
      <c r="V51" s="7">
        <f t="shared" si="9"/>
        <v>1.248566464638818E-2</v>
      </c>
      <c r="W51" s="3"/>
      <c r="X51" s="8">
        <f t="shared" si="10"/>
        <v>0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5"/>
      <c r="B52" s="14" t="str">
        <f>CONCATENATE("     ","Discounts and Markdowns                           ")</f>
        <v xml:space="preserve">     Discounts and Markdowns                           </v>
      </c>
      <c r="C52" s="14"/>
      <c r="D52" s="2">
        <f>SUM(OSRRefD22_4x_0)</f>
        <v>0</v>
      </c>
      <c r="E52" s="2"/>
      <c r="F52" s="6">
        <f t="shared" si="4"/>
        <v>0</v>
      </c>
      <c r="G52" s="2"/>
      <c r="H52" s="2">
        <f>SUM(OSRRefH22_4x_0)</f>
        <v>0</v>
      </c>
      <c r="I52" s="2"/>
      <c r="J52" s="6">
        <f t="shared" si="5"/>
        <v>0</v>
      </c>
      <c r="K52" s="2"/>
      <c r="L52" s="2">
        <f t="shared" si="6"/>
        <v>0</v>
      </c>
      <c r="M52" s="2"/>
      <c r="N52" s="6">
        <f t="shared" si="7"/>
        <v>0</v>
      </c>
      <c r="O52" s="14"/>
      <c r="P52" s="2">
        <f>SUM(OSRRefP22_4x_0)</f>
        <v>0</v>
      </c>
      <c r="Q52" s="2"/>
      <c r="R52" s="6">
        <f t="shared" si="8"/>
        <v>0</v>
      </c>
      <c r="S52" s="2"/>
      <c r="T52" s="2">
        <f>SUM(OSRRefT22_4x_0)</f>
        <v>0</v>
      </c>
      <c r="U52" s="2"/>
      <c r="V52" s="6">
        <f t="shared" si="9"/>
        <v>0</v>
      </c>
      <c r="W52" s="2"/>
      <c r="X52" s="2">
        <f t="shared" si="10"/>
        <v>0</v>
      </c>
      <c r="Y52" s="2"/>
      <c r="Z52" s="6">
        <f t="shared" si="11"/>
        <v>0</v>
      </c>
    </row>
    <row r="53" spans="1:26" s="69" customFormat="1" ht="15" hidden="1" customHeight="1" outlineLevel="2" x14ac:dyDescent="0.3">
      <c r="A53" s="26"/>
      <c r="B53" s="12" t="str">
        <f>CONCATENATE("          ","6382"," - ","DISCOUNTS/MARK DOWNS")</f>
        <v xml:space="preserve">          6382 - DISCOUNTS/MARK DOWNS</v>
      </c>
      <c r="C53" s="12"/>
      <c r="D53" s="8"/>
      <c r="E53" s="3"/>
      <c r="F53" s="7">
        <f t="shared" si="4"/>
        <v>0</v>
      </c>
      <c r="G53" s="3"/>
      <c r="H53" s="8"/>
      <c r="I53" s="3"/>
      <c r="J53" s="7">
        <f t="shared" si="5"/>
        <v>0</v>
      </c>
      <c r="K53" s="3"/>
      <c r="L53" s="8">
        <f t="shared" si="6"/>
        <v>0</v>
      </c>
      <c r="M53" s="3"/>
      <c r="N53" s="7">
        <f t="shared" si="7"/>
        <v>0</v>
      </c>
      <c r="O53" s="12"/>
      <c r="P53" s="8"/>
      <c r="Q53" s="3"/>
      <c r="R53" s="7">
        <f t="shared" si="8"/>
        <v>0</v>
      </c>
      <c r="S53" s="3"/>
      <c r="T53" s="8">
        <v>0</v>
      </c>
      <c r="U53" s="3"/>
      <c r="V53" s="7">
        <f t="shared" si="9"/>
        <v>0</v>
      </c>
      <c r="W53" s="3"/>
      <c r="X53" s="8">
        <f t="shared" si="10"/>
        <v>0</v>
      </c>
      <c r="Y53" s="3"/>
      <c r="Z53" s="7">
        <f t="shared" si="11"/>
        <v>0</v>
      </c>
    </row>
    <row r="54" spans="1:26" s="68" customFormat="1" ht="15" customHeight="1" outlineLevel="1" collapsed="1" x14ac:dyDescent="0.3">
      <c r="A54" s="25"/>
      <c r="B54" s="14" t="str">
        <f>CONCATENATE("     ","Equipment Rental                                  ")</f>
        <v xml:space="preserve">     Equipment Rental                                  </v>
      </c>
      <c r="C54" s="14"/>
      <c r="D54" s="2">
        <f>SUM(OSRRefD22_5x_0)</f>
        <v>1205.6400000000001</v>
      </c>
      <c r="E54" s="2"/>
      <c r="F54" s="6">
        <f t="shared" si="4"/>
        <v>4.9872324301651366E-2</v>
      </c>
      <c r="G54" s="2"/>
      <c r="H54" s="2">
        <f>SUM(OSRRefH22_5x_0)</f>
        <v>1205.6400000000001</v>
      </c>
      <c r="I54" s="2"/>
      <c r="J54" s="6">
        <f t="shared" si="5"/>
        <v>0.27142989006733736</v>
      </c>
      <c r="K54" s="2"/>
      <c r="L54" s="2">
        <f t="shared" si="6"/>
        <v>0</v>
      </c>
      <c r="M54" s="2"/>
      <c r="N54" s="6">
        <f t="shared" si="7"/>
        <v>0</v>
      </c>
      <c r="O54" s="14"/>
      <c r="P54" s="2">
        <f>SUM(OSRRefP22_5x_0)</f>
        <v>9736.3799999999992</v>
      </c>
      <c r="Q54" s="2"/>
      <c r="R54" s="6">
        <f t="shared" si="8"/>
        <v>6.6498069404719334E-2</v>
      </c>
      <c r="S54" s="2"/>
      <c r="T54" s="2">
        <f>SUM(OSRRefT22_5x_0)</f>
        <v>9645.1200000000008</v>
      </c>
      <c r="U54" s="2"/>
      <c r="V54" s="6">
        <f t="shared" si="9"/>
        <v>8.8610882530441762E-2</v>
      </c>
      <c r="W54" s="2"/>
      <c r="X54" s="2">
        <f t="shared" si="10"/>
        <v>91.259999999998399</v>
      </c>
      <c r="Y54" s="2"/>
      <c r="Z54" s="6">
        <f t="shared" si="11"/>
        <v>9.4617796357119865E-3</v>
      </c>
    </row>
    <row r="55" spans="1:26" s="69" customFormat="1" ht="15" hidden="1" customHeight="1" outlineLevel="2" x14ac:dyDescent="0.3">
      <c r="A55" s="26"/>
      <c r="B55" s="12" t="str">
        <f>CONCATENATE("          ","6351"," - ","EQUIPMENT RENTAL")</f>
        <v xml:space="preserve">          6351 - EQUIPMENT RENTAL</v>
      </c>
      <c r="C55" s="12"/>
      <c r="D55" s="8">
        <v>1205.6400000000001</v>
      </c>
      <c r="E55" s="3"/>
      <c r="F55" s="7">
        <f t="shared" si="4"/>
        <v>4.9872324301651366E-2</v>
      </c>
      <c r="G55" s="3"/>
      <c r="H55" s="8">
        <v>1205.6400000000001</v>
      </c>
      <c r="I55" s="3"/>
      <c r="J55" s="7">
        <f t="shared" si="5"/>
        <v>0.27142989006733736</v>
      </c>
      <c r="K55" s="3"/>
      <c r="L55" s="8">
        <f t="shared" si="6"/>
        <v>0</v>
      </c>
      <c r="M55" s="3"/>
      <c r="N55" s="7">
        <f t="shared" si="7"/>
        <v>0</v>
      </c>
      <c r="O55" s="12"/>
      <c r="P55" s="8">
        <v>9736.3799999999992</v>
      </c>
      <c r="Q55" s="3"/>
      <c r="R55" s="7">
        <f t="shared" si="8"/>
        <v>6.6498069404719334E-2</v>
      </c>
      <c r="S55" s="3"/>
      <c r="T55" s="8">
        <v>9645.1200000000008</v>
      </c>
      <c r="U55" s="3"/>
      <c r="V55" s="7">
        <f t="shared" si="9"/>
        <v>8.8610882530441762E-2</v>
      </c>
      <c r="W55" s="3"/>
      <c r="X55" s="8">
        <f t="shared" si="10"/>
        <v>91.259999999998399</v>
      </c>
      <c r="Y55" s="3"/>
      <c r="Z55" s="7">
        <f t="shared" si="11"/>
        <v>9.4617796357119865E-3</v>
      </c>
    </row>
    <row r="56" spans="1:26" s="68" customFormat="1" ht="15" customHeight="1" outlineLevel="1" collapsed="1" x14ac:dyDescent="0.3">
      <c r="A56" s="25"/>
      <c r="B56" s="14" t="str">
        <f>CONCATENATE("     ","Freight out/Postage                               ")</f>
        <v xml:space="preserve">     Freight out/Postage                               </v>
      </c>
      <c r="C56" s="14"/>
      <c r="D56" s="2">
        <f>SUM(OSRRefD22_6x_0)</f>
        <v>-7076.82</v>
      </c>
      <c r="E56" s="2"/>
      <c r="F56" s="6">
        <f t="shared" si="4"/>
        <v>-0.29273867992469754</v>
      </c>
      <c r="G56" s="2"/>
      <c r="H56" s="2">
        <f>SUM(OSRRefH22_6x_0)</f>
        <v>2803.1499999999978</v>
      </c>
      <c r="I56" s="2"/>
      <c r="J56" s="6">
        <f t="shared" si="5"/>
        <v>0.63108282434412932</v>
      </c>
      <c r="K56" s="2"/>
      <c r="L56" s="2">
        <f t="shared" si="6"/>
        <v>-9879.9699999999975</v>
      </c>
      <c r="M56" s="2"/>
      <c r="N56" s="6">
        <f t="shared" si="7"/>
        <v>-3.5245955442983803</v>
      </c>
      <c r="O56" s="14"/>
      <c r="P56" s="2">
        <f>SUM(OSRRefP22_6x_0)</f>
        <v>-64363.05</v>
      </c>
      <c r="Q56" s="2"/>
      <c r="R56" s="6">
        <f t="shared" si="8"/>
        <v>-0.43959033706566725</v>
      </c>
      <c r="S56" s="2"/>
      <c r="T56" s="2">
        <f>SUM(OSRRefT22_6x_0)</f>
        <v>-45422.41</v>
      </c>
      <c r="U56" s="2"/>
      <c r="V56" s="6">
        <f t="shared" si="9"/>
        <v>-0.41730116750849788</v>
      </c>
      <c r="W56" s="2"/>
      <c r="X56" s="2">
        <f t="shared" si="10"/>
        <v>-18940.64</v>
      </c>
      <c r="Y56" s="2"/>
      <c r="Z56" s="6">
        <f t="shared" si="11"/>
        <v>0.41698888280036217</v>
      </c>
    </row>
    <row r="57" spans="1:26" s="69" customFormat="1" ht="15" hidden="1" customHeight="1" outlineLevel="2" x14ac:dyDescent="0.3">
      <c r="A57" s="26"/>
      <c r="B57" s="12" t="str">
        <f>CONCATENATE("          ","6305"," - ","FREIGHT OUT")</f>
        <v xml:space="preserve">          6305 - FREIGHT OUT</v>
      </c>
      <c r="C57" s="12"/>
      <c r="D57" s="8">
        <v>7594.99</v>
      </c>
      <c r="E57" s="3"/>
      <c r="F57" s="7">
        <f t="shared" si="4"/>
        <v>0.31417322280929555</v>
      </c>
      <c r="G57" s="3"/>
      <c r="H57" s="8">
        <v>24817.48</v>
      </c>
      <c r="I57" s="3"/>
      <c r="J57" s="7">
        <f t="shared" si="5"/>
        <v>5.5872448393785401</v>
      </c>
      <c r="K57" s="3"/>
      <c r="L57" s="8">
        <f t="shared" si="6"/>
        <v>-17222.489999999998</v>
      </c>
      <c r="M57" s="3"/>
      <c r="N57" s="7">
        <f t="shared" si="7"/>
        <v>-0.69396610775953071</v>
      </c>
      <c r="O57" s="12"/>
      <c r="P57" s="8">
        <v>95215.99</v>
      </c>
      <c r="Q57" s="3"/>
      <c r="R57" s="7">
        <f t="shared" si="8"/>
        <v>0.6503114619046364</v>
      </c>
      <c r="S57" s="3"/>
      <c r="T57" s="8">
        <v>150896.71</v>
      </c>
      <c r="U57" s="3"/>
      <c r="V57" s="7">
        <f t="shared" si="9"/>
        <v>1.3863063024659241</v>
      </c>
      <c r="W57" s="3"/>
      <c r="X57" s="8">
        <f t="shared" si="10"/>
        <v>-55680.719999999987</v>
      </c>
      <c r="Y57" s="3"/>
      <c r="Z57" s="7">
        <f t="shared" si="11"/>
        <v>-0.36899889997601665</v>
      </c>
    </row>
    <row r="58" spans="1:26" s="69" customFormat="1" ht="15" hidden="1" customHeight="1" outlineLevel="2" x14ac:dyDescent="0.3">
      <c r="A58" s="26"/>
      <c r="B58" s="12" t="str">
        <f>CONCATENATE("          ","6307"," - ","POSTAGE")</f>
        <v xml:space="preserve">          6307 - POSTAGE</v>
      </c>
      <c r="C58" s="12"/>
      <c r="D58" s="8">
        <v>-14671.81</v>
      </c>
      <c r="E58" s="3"/>
      <c r="F58" s="7">
        <f t="shared" si="4"/>
        <v>-0.60691190273399309</v>
      </c>
      <c r="G58" s="3"/>
      <c r="H58" s="8">
        <v>-22014.33</v>
      </c>
      <c r="I58" s="3"/>
      <c r="J58" s="7">
        <f t="shared" si="5"/>
        <v>-4.956162015034411</v>
      </c>
      <c r="K58" s="3"/>
      <c r="L58" s="8">
        <f t="shared" si="6"/>
        <v>7342.5200000000023</v>
      </c>
      <c r="M58" s="3"/>
      <c r="N58" s="7">
        <f t="shared" si="7"/>
        <v>-0.3335336573949787</v>
      </c>
      <c r="O58" s="12"/>
      <c r="P58" s="8">
        <v>-159579.04</v>
      </c>
      <c r="Q58" s="3"/>
      <c r="R58" s="7">
        <f t="shared" si="8"/>
        <v>-1.0899017989703037</v>
      </c>
      <c r="S58" s="3"/>
      <c r="T58" s="8">
        <v>-196319.12</v>
      </c>
      <c r="U58" s="3"/>
      <c r="V58" s="7">
        <f t="shared" si="9"/>
        <v>-1.803607469974422</v>
      </c>
      <c r="W58" s="3"/>
      <c r="X58" s="8">
        <f t="shared" si="10"/>
        <v>36740.079999999987</v>
      </c>
      <c r="Y58" s="3"/>
      <c r="Z58" s="7">
        <f t="shared" si="11"/>
        <v>-0.18714468565262513</v>
      </c>
    </row>
    <row r="59" spans="1:26" s="68" customFormat="1" ht="15" customHeight="1" outlineLevel="1" collapsed="1" x14ac:dyDescent="0.3">
      <c r="A59" s="25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SUM(OSRRefD22_7x_0)</f>
        <v>0</v>
      </c>
      <c r="E59" s="2"/>
      <c r="F59" s="6">
        <f t="shared" si="4"/>
        <v>0</v>
      </c>
      <c r="G59" s="2"/>
      <c r="H59" s="2">
        <f>SUM(OSRRefH22_7x_0)</f>
        <v>0</v>
      </c>
      <c r="I59" s="2"/>
      <c r="J59" s="6">
        <f t="shared" si="5"/>
        <v>0</v>
      </c>
      <c r="K59" s="2"/>
      <c r="L59" s="2">
        <f t="shared" si="6"/>
        <v>0</v>
      </c>
      <c r="M59" s="2"/>
      <c r="N59" s="6">
        <f t="shared" si="7"/>
        <v>0</v>
      </c>
      <c r="O59" s="14"/>
      <c r="P59" s="2">
        <f>SUM(OSRRefP22_7x_0)</f>
        <v>91.31</v>
      </c>
      <c r="Q59" s="2"/>
      <c r="R59" s="6">
        <f t="shared" si="8"/>
        <v>6.236341142544686E-4</v>
      </c>
      <c r="S59" s="2"/>
      <c r="T59" s="2">
        <f>SUM(OSRRefT22_7x_0)</f>
        <v>0</v>
      </c>
      <c r="U59" s="2"/>
      <c r="V59" s="6">
        <f t="shared" si="9"/>
        <v>0</v>
      </c>
      <c r="W59" s="2"/>
      <c r="X59" s="2">
        <f t="shared" si="10"/>
        <v>91.31</v>
      </c>
      <c r="Y59" s="2"/>
      <c r="Z59" s="6">
        <f t="shared" si="11"/>
        <v>0</v>
      </c>
    </row>
    <row r="60" spans="1:26" s="69" customFormat="1" ht="15" hidden="1" customHeight="1" outlineLevel="2" x14ac:dyDescent="0.3">
      <c r="A60" s="26"/>
      <c r="B60" s="12" t="str">
        <f>CONCATENATE("          ","6279"," - ","GENERAL EXPENSE")</f>
        <v xml:space="preserve">          6279 - GENERAL EXPENSE</v>
      </c>
      <c r="C60" s="12"/>
      <c r="D60" s="8"/>
      <c r="E60" s="3"/>
      <c r="F60" s="7">
        <f t="shared" si="4"/>
        <v>0</v>
      </c>
      <c r="G60" s="3"/>
      <c r="H60" s="8"/>
      <c r="I60" s="3"/>
      <c r="J60" s="7">
        <f t="shared" si="5"/>
        <v>0</v>
      </c>
      <c r="K60" s="3"/>
      <c r="L60" s="8">
        <f t="shared" si="6"/>
        <v>0</v>
      </c>
      <c r="M60" s="3"/>
      <c r="N60" s="7">
        <f t="shared" si="7"/>
        <v>0</v>
      </c>
      <c r="O60" s="12"/>
      <c r="P60" s="8">
        <v>91.31</v>
      </c>
      <c r="Q60" s="3"/>
      <c r="R60" s="7">
        <f t="shared" si="8"/>
        <v>6.236341142544686E-4</v>
      </c>
      <c r="S60" s="3"/>
      <c r="T60" s="8"/>
      <c r="U60" s="3"/>
      <c r="V60" s="7">
        <f t="shared" si="9"/>
        <v>0</v>
      </c>
      <c r="W60" s="3"/>
      <c r="X60" s="8">
        <f t="shared" si="10"/>
        <v>91.31</v>
      </c>
      <c r="Y60" s="3"/>
      <c r="Z60" s="7">
        <f t="shared" si="11"/>
        <v>0</v>
      </c>
    </row>
    <row r="61" spans="1:26" s="68" customFormat="1" ht="15" customHeight="1" outlineLevel="1" collapsed="1" x14ac:dyDescent="0.3">
      <c r="A61" s="25"/>
      <c r="B61" s="14" t="str">
        <f>CONCATENATE("     ","Repair and Maintenance                            ")</f>
        <v xml:space="preserve">     Repair and Maintenance                            </v>
      </c>
      <c r="C61" s="14"/>
      <c r="D61" s="2">
        <f>SUM(OSRRefD22_8x_0)</f>
        <v>2632.59</v>
      </c>
      <c r="E61" s="2"/>
      <c r="F61" s="6">
        <f t="shared" si="4"/>
        <v>0.10889932503341326</v>
      </c>
      <c r="G61" s="2"/>
      <c r="H61" s="2">
        <f>SUM(OSRRefH22_8x_0)</f>
        <v>472.97</v>
      </c>
      <c r="I61" s="2"/>
      <c r="J61" s="6">
        <f t="shared" si="5"/>
        <v>0.10648136683018856</v>
      </c>
      <c r="K61" s="2"/>
      <c r="L61" s="2">
        <f t="shared" si="6"/>
        <v>2159.62</v>
      </c>
      <c r="M61" s="2"/>
      <c r="N61" s="6">
        <f t="shared" si="7"/>
        <v>4.566082415375182</v>
      </c>
      <c r="O61" s="14"/>
      <c r="P61" s="2">
        <f>SUM(OSRRefP22_8x_0)</f>
        <v>23371.42</v>
      </c>
      <c r="Q61" s="2"/>
      <c r="R61" s="6">
        <f t="shared" si="8"/>
        <v>0.15962342361810505</v>
      </c>
      <c r="S61" s="2"/>
      <c r="T61" s="2">
        <f>SUM(OSRRefT22_8x_0)</f>
        <v>30905.559999999998</v>
      </c>
      <c r="U61" s="2"/>
      <c r="V61" s="6">
        <f t="shared" si="9"/>
        <v>0.28393311298330343</v>
      </c>
      <c r="W61" s="2"/>
      <c r="X61" s="2">
        <f t="shared" si="10"/>
        <v>-7534.1399999999994</v>
      </c>
      <c r="Y61" s="2"/>
      <c r="Z61" s="6">
        <f t="shared" si="11"/>
        <v>-0.24377943645091693</v>
      </c>
    </row>
    <row r="62" spans="1:26" s="69" customFormat="1" ht="15" hidden="1" customHeight="1" outlineLevel="2" x14ac:dyDescent="0.3">
      <c r="A62" s="26"/>
      <c r="B62" s="12" t="str">
        <f>CONCATENATE("          ","6371"," - ","COMPUTER SOFTWARE MAINTENANCE")</f>
        <v xml:space="preserve">          6371 - COMPUTER SOFTWARE MAINTENANCE</v>
      </c>
      <c r="C62" s="12"/>
      <c r="D62" s="8"/>
      <c r="E62" s="3"/>
      <c r="F62" s="7">
        <f t="shared" si="4"/>
        <v>0</v>
      </c>
      <c r="G62" s="3"/>
      <c r="H62" s="8"/>
      <c r="I62" s="3"/>
      <c r="J62" s="7">
        <f t="shared" si="5"/>
        <v>0</v>
      </c>
      <c r="K62" s="3"/>
      <c r="L62" s="8">
        <f t="shared" si="6"/>
        <v>0</v>
      </c>
      <c r="M62" s="3"/>
      <c r="N62" s="7">
        <f t="shared" si="7"/>
        <v>0</v>
      </c>
      <c r="O62" s="12"/>
      <c r="P62" s="8"/>
      <c r="Q62" s="3"/>
      <c r="R62" s="7">
        <f t="shared" si="8"/>
        <v>0</v>
      </c>
      <c r="S62" s="3"/>
      <c r="T62" s="8">
        <v>7.69</v>
      </c>
      <c r="U62" s="3"/>
      <c r="V62" s="7">
        <f t="shared" si="9"/>
        <v>7.0648958920064981E-5</v>
      </c>
      <c r="W62" s="3"/>
      <c r="X62" s="8">
        <f t="shared" si="10"/>
        <v>-7.69</v>
      </c>
      <c r="Y62" s="3"/>
      <c r="Z62" s="7">
        <f t="shared" si="11"/>
        <v>-1</v>
      </c>
    </row>
    <row r="63" spans="1:26" s="69" customFormat="1" ht="15" hidden="1" customHeight="1" outlineLevel="2" x14ac:dyDescent="0.3">
      <c r="A63" s="26"/>
      <c r="B63" s="12" t="str">
        <f>CONCATENATE("          ","6373"," - ","MAINTENANCE CONTRACTS")</f>
        <v xml:space="preserve">          6373 - MAINTENANCE CONTRACTS</v>
      </c>
      <c r="C63" s="12"/>
      <c r="D63" s="8">
        <v>749.09</v>
      </c>
      <c r="E63" s="3"/>
      <c r="F63" s="7">
        <f t="shared" si="4"/>
        <v>3.0986745140443268E-2</v>
      </c>
      <c r="G63" s="3"/>
      <c r="H63" s="8">
        <v>472.97</v>
      </c>
      <c r="I63" s="3"/>
      <c r="J63" s="7">
        <f t="shared" si="5"/>
        <v>0.10648136683018856</v>
      </c>
      <c r="K63" s="3"/>
      <c r="L63" s="8">
        <f t="shared" si="6"/>
        <v>276.12</v>
      </c>
      <c r="M63" s="3"/>
      <c r="N63" s="7">
        <f t="shared" si="7"/>
        <v>0.58380024103008643</v>
      </c>
      <c r="O63" s="12"/>
      <c r="P63" s="8">
        <v>7513.27</v>
      </c>
      <c r="Q63" s="3"/>
      <c r="R63" s="7">
        <f t="shared" si="8"/>
        <v>5.1314549135961798E-2</v>
      </c>
      <c r="S63" s="3"/>
      <c r="T63" s="8">
        <v>30897.87</v>
      </c>
      <c r="U63" s="3"/>
      <c r="V63" s="7">
        <f t="shared" si="9"/>
        <v>0.28386246402438337</v>
      </c>
      <c r="W63" s="3"/>
      <c r="X63" s="8">
        <f t="shared" si="10"/>
        <v>-23384.6</v>
      </c>
      <c r="Y63" s="3"/>
      <c r="Z63" s="7">
        <f t="shared" si="11"/>
        <v>-0.75683534172420297</v>
      </c>
    </row>
    <row r="64" spans="1:26" s="69" customFormat="1" ht="15" hidden="1" customHeight="1" outlineLevel="2" x14ac:dyDescent="0.3">
      <c r="A64" s="26"/>
      <c r="B64" s="12" t="str">
        <f>CONCATENATE("          ","6375"," - ","OUTSIDE REPAIRS &amp; MAINTENANCE")</f>
        <v xml:space="preserve">          6375 - OUTSIDE REPAIRS &amp; MAINTENANCE</v>
      </c>
      <c r="C64" s="12"/>
      <c r="D64" s="8">
        <v>1883.5</v>
      </c>
      <c r="E64" s="3"/>
      <c r="F64" s="7">
        <f t="shared" si="4"/>
        <v>7.7912579892969985E-2</v>
      </c>
      <c r="G64" s="3"/>
      <c r="H64" s="8"/>
      <c r="I64" s="3"/>
      <c r="J64" s="7">
        <f t="shared" si="5"/>
        <v>0</v>
      </c>
      <c r="K64" s="3"/>
      <c r="L64" s="8">
        <f t="shared" si="6"/>
        <v>1883.5</v>
      </c>
      <c r="M64" s="3"/>
      <c r="N64" s="7">
        <f t="shared" si="7"/>
        <v>0</v>
      </c>
      <c r="O64" s="12"/>
      <c r="P64" s="8">
        <v>15858.15</v>
      </c>
      <c r="Q64" s="3"/>
      <c r="R64" s="7">
        <f t="shared" si="8"/>
        <v>0.10830887448214327</v>
      </c>
      <c r="S64" s="3"/>
      <c r="T64" s="8"/>
      <c r="U64" s="3"/>
      <c r="V64" s="7">
        <f t="shared" si="9"/>
        <v>0</v>
      </c>
      <c r="W64" s="3"/>
      <c r="X64" s="8">
        <f t="shared" si="10"/>
        <v>15858.15</v>
      </c>
      <c r="Y64" s="3"/>
      <c r="Z64" s="7">
        <f t="shared" si="11"/>
        <v>0</v>
      </c>
    </row>
    <row r="65" spans="1:26" s="68" customFormat="1" ht="15" customHeight="1" outlineLevel="1" collapsed="1" x14ac:dyDescent="0.3">
      <c r="A65" s="25"/>
      <c r="B65" s="14" t="str">
        <f>CONCATENATE("     ","Royalty &amp; Commissions                             ")</f>
        <v xml:space="preserve">     Royalty &amp; Commissions                             </v>
      </c>
      <c r="C65" s="14"/>
      <c r="D65" s="2">
        <f>SUM(OSRRefD22_9x_0)</f>
        <v>1634.9</v>
      </c>
      <c r="E65" s="2"/>
      <c r="F65" s="6">
        <f t="shared" si="4"/>
        <v>6.7629029395814513E-2</v>
      </c>
      <c r="G65" s="2"/>
      <c r="H65" s="2">
        <f>SUM(OSRRefH22_9x_0)</f>
        <v>468.34</v>
      </c>
      <c r="I65" s="2"/>
      <c r="J65" s="6">
        <f t="shared" si="5"/>
        <v>0.10543899896663744</v>
      </c>
      <c r="K65" s="2"/>
      <c r="L65" s="2">
        <f t="shared" si="6"/>
        <v>1166.5600000000002</v>
      </c>
      <c r="M65" s="2"/>
      <c r="N65" s="6">
        <f t="shared" si="7"/>
        <v>2.4908399880428753</v>
      </c>
      <c r="O65" s="14"/>
      <c r="P65" s="2">
        <f>SUM(OSRRefP22_9x_0)</f>
        <v>7503.48</v>
      </c>
      <c r="Q65" s="2"/>
      <c r="R65" s="6">
        <f t="shared" si="8"/>
        <v>5.1247684849700145E-2</v>
      </c>
      <c r="S65" s="2"/>
      <c r="T65" s="2">
        <f>SUM(OSRRefT22_9x_0)</f>
        <v>10636.41</v>
      </c>
      <c r="U65" s="2"/>
      <c r="V65" s="6">
        <f t="shared" si="9"/>
        <v>9.7717983504157127E-2</v>
      </c>
      <c r="W65" s="2"/>
      <c r="X65" s="2">
        <f t="shared" si="10"/>
        <v>-3132.9300000000003</v>
      </c>
      <c r="Y65" s="2"/>
      <c r="Z65" s="6">
        <f t="shared" si="11"/>
        <v>-0.29454769043314427</v>
      </c>
    </row>
    <row r="66" spans="1:26" s="69" customFormat="1" ht="15" hidden="1" customHeight="1" outlineLevel="2" x14ac:dyDescent="0.3">
      <c r="A66" s="26"/>
      <c r="B66" s="12" t="str">
        <f>CONCATENATE("          ","6259"," - ","ROYALTY &amp; COMMISSIONS")</f>
        <v xml:space="preserve">          6259 - ROYALTY &amp; COMMISSIONS</v>
      </c>
      <c r="C66" s="12"/>
      <c r="D66" s="8">
        <v>1634.9</v>
      </c>
      <c r="E66" s="3"/>
      <c r="F66" s="7">
        <f t="shared" si="4"/>
        <v>6.7629029395814513E-2</v>
      </c>
      <c r="G66" s="3"/>
      <c r="H66" s="8">
        <v>468.34</v>
      </c>
      <c r="I66" s="3"/>
      <c r="J66" s="7">
        <f t="shared" si="5"/>
        <v>0.10543899896663744</v>
      </c>
      <c r="K66" s="3"/>
      <c r="L66" s="8">
        <f t="shared" si="6"/>
        <v>1166.5600000000002</v>
      </c>
      <c r="M66" s="3"/>
      <c r="N66" s="7">
        <f t="shared" si="7"/>
        <v>2.4908399880428753</v>
      </c>
      <c r="O66" s="12"/>
      <c r="P66" s="8">
        <v>7503.48</v>
      </c>
      <c r="Q66" s="3"/>
      <c r="R66" s="7">
        <f t="shared" si="8"/>
        <v>5.1247684849700145E-2</v>
      </c>
      <c r="S66" s="3"/>
      <c r="T66" s="8">
        <v>10636.41</v>
      </c>
      <c r="U66" s="3"/>
      <c r="V66" s="7">
        <f t="shared" si="9"/>
        <v>9.7717983504157127E-2</v>
      </c>
      <c r="W66" s="3"/>
      <c r="X66" s="8">
        <f t="shared" si="10"/>
        <v>-3132.9300000000003</v>
      </c>
      <c r="Y66" s="3"/>
      <c r="Z66" s="7">
        <f t="shared" si="11"/>
        <v>-0.29454769043314427</v>
      </c>
    </row>
    <row r="67" spans="1:26" s="68" customFormat="1" ht="15" customHeight="1" outlineLevel="1" collapsed="1" x14ac:dyDescent="0.3">
      <c r="A67" s="25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SUM(OSRRefD22_10x_0)</f>
        <v>5674.86</v>
      </c>
      <c r="E67" s="2"/>
      <c r="F67" s="6">
        <f t="shared" si="4"/>
        <v>0.23474541180324909</v>
      </c>
      <c r="G67" s="2"/>
      <c r="H67" s="2">
        <f>SUM(OSRRefH22_10x_0)</f>
        <v>-2156.8399999999997</v>
      </c>
      <c r="I67" s="2"/>
      <c r="J67" s="6">
        <f t="shared" si="5"/>
        <v>-0.48557682566341176</v>
      </c>
      <c r="K67" s="2"/>
      <c r="L67" s="2">
        <f t="shared" si="6"/>
        <v>7831.6999999999989</v>
      </c>
      <c r="M67" s="2"/>
      <c r="N67" s="6">
        <f t="shared" si="7"/>
        <v>-3.6310992006824798</v>
      </c>
      <c r="O67" s="14"/>
      <c r="P67" s="2">
        <f>SUM(OSRRefP22_10x_0)</f>
        <v>28292.78</v>
      </c>
      <c r="Q67" s="2"/>
      <c r="R67" s="6">
        <f t="shared" si="8"/>
        <v>0.19323560174237811</v>
      </c>
      <c r="S67" s="2"/>
      <c r="T67" s="2">
        <f>SUM(OSRRefT22_10x_0)</f>
        <v>29928.16</v>
      </c>
      <c r="U67" s="2"/>
      <c r="V67" s="6">
        <f t="shared" si="9"/>
        <v>0.27495362111744237</v>
      </c>
      <c r="W67" s="2"/>
      <c r="X67" s="2">
        <f t="shared" si="10"/>
        <v>-1635.380000000001</v>
      </c>
      <c r="Y67" s="2"/>
      <c r="Z67" s="6">
        <f t="shared" si="11"/>
        <v>-5.4643519681798043E-2</v>
      </c>
    </row>
    <row r="68" spans="1:26" s="69" customFormat="1" ht="15" hidden="1" customHeight="1" outlineLevel="2" x14ac:dyDescent="0.3">
      <c r="A68" s="26"/>
      <c r="B68" s="12" t="str">
        <f>CONCATENATE("          ","6235"," - ","COVID-19 EXPENSES")</f>
        <v xml:space="preserve">          6235 - COVID-19 EXPENSES</v>
      </c>
      <c r="C68" s="12"/>
      <c r="D68" s="8"/>
      <c r="E68" s="3"/>
      <c r="F68" s="7">
        <f t="shared" si="4"/>
        <v>0</v>
      </c>
      <c r="G68" s="3"/>
      <c r="H68" s="8"/>
      <c r="I68" s="3"/>
      <c r="J68" s="7">
        <f t="shared" si="5"/>
        <v>0</v>
      </c>
      <c r="K68" s="3"/>
      <c r="L68" s="8">
        <f t="shared" si="6"/>
        <v>0</v>
      </c>
      <c r="M68" s="3"/>
      <c r="N68" s="7">
        <f t="shared" si="7"/>
        <v>0</v>
      </c>
      <c r="O68" s="12"/>
      <c r="P68" s="8"/>
      <c r="Q68" s="3"/>
      <c r="R68" s="7">
        <f t="shared" si="8"/>
        <v>0</v>
      </c>
      <c r="S68" s="3"/>
      <c r="T68" s="8">
        <v>310.91000000000003</v>
      </c>
      <c r="U68" s="3"/>
      <c r="V68" s="7">
        <f t="shared" si="9"/>
        <v>2.8563677266368534E-3</v>
      </c>
      <c r="W68" s="3"/>
      <c r="X68" s="8">
        <f t="shared" si="10"/>
        <v>-310.91000000000003</v>
      </c>
      <c r="Y68" s="3"/>
      <c r="Z68" s="7">
        <f t="shared" si="11"/>
        <v>-1</v>
      </c>
    </row>
    <row r="69" spans="1:26" s="69" customFormat="1" ht="15" hidden="1" customHeight="1" outlineLevel="2" x14ac:dyDescent="0.3">
      <c r="A69" s="26"/>
      <c r="B69" s="12" t="str">
        <f>CONCATENATE("          ","6241"," - ","OFFICE EXPENSE")</f>
        <v xml:space="preserve">          6241 - OFFICE EXPENSE</v>
      </c>
      <c r="C69" s="12"/>
      <c r="D69" s="8">
        <v>3295.15</v>
      </c>
      <c r="E69" s="3"/>
      <c r="F69" s="7">
        <f t="shared" si="4"/>
        <v>0.13630668310821348</v>
      </c>
      <c r="G69" s="3"/>
      <c r="H69" s="8">
        <v>7.71</v>
      </c>
      <c r="I69" s="3"/>
      <c r="J69" s="7">
        <f t="shared" si="5"/>
        <v>1.735778882932858E-3</v>
      </c>
      <c r="K69" s="3"/>
      <c r="L69" s="8">
        <f t="shared" si="6"/>
        <v>3287.44</v>
      </c>
      <c r="M69" s="3"/>
      <c r="N69" s="7">
        <f t="shared" si="7"/>
        <v>426.38651102464331</v>
      </c>
      <c r="O69" s="12"/>
      <c r="P69" s="8">
        <v>8157.46</v>
      </c>
      <c r="Q69" s="3"/>
      <c r="R69" s="7">
        <f t="shared" si="8"/>
        <v>5.5714273810823105E-2</v>
      </c>
      <c r="S69" s="3"/>
      <c r="T69" s="8">
        <v>4604.57</v>
      </c>
      <c r="U69" s="3"/>
      <c r="V69" s="7">
        <f t="shared" si="9"/>
        <v>4.2302740802934141E-2</v>
      </c>
      <c r="W69" s="3"/>
      <c r="X69" s="8">
        <f t="shared" si="10"/>
        <v>3552.8900000000003</v>
      </c>
      <c r="Y69" s="3"/>
      <c r="Z69" s="7">
        <f t="shared" si="11"/>
        <v>0.77160082266096519</v>
      </c>
    </row>
    <row r="70" spans="1:26" s="69" customFormat="1" ht="15" hidden="1" customHeight="1" outlineLevel="2" x14ac:dyDescent="0.3">
      <c r="A70" s="26"/>
      <c r="B70" s="12" t="str">
        <f>CONCATENATE("          ","6243"," - ","PAPER SUPPLIES")</f>
        <v xml:space="preserve">          6243 - PAPER SUPPLIES</v>
      </c>
      <c r="C70" s="12"/>
      <c r="D70" s="8">
        <v>1072.69</v>
      </c>
      <c r="E70" s="3"/>
      <c r="F70" s="7">
        <f t="shared" si="4"/>
        <v>4.4372734444061576E-2</v>
      </c>
      <c r="G70" s="3"/>
      <c r="H70" s="8"/>
      <c r="I70" s="3"/>
      <c r="J70" s="7">
        <f t="shared" si="5"/>
        <v>0</v>
      </c>
      <c r="K70" s="3"/>
      <c r="L70" s="8">
        <f t="shared" si="6"/>
        <v>1072.69</v>
      </c>
      <c r="M70" s="3"/>
      <c r="N70" s="7">
        <f t="shared" si="7"/>
        <v>0</v>
      </c>
      <c r="O70" s="12"/>
      <c r="P70" s="8">
        <v>5621.93</v>
      </c>
      <c r="Q70" s="3"/>
      <c r="R70" s="7">
        <f t="shared" si="8"/>
        <v>3.8396970057503282E-2</v>
      </c>
      <c r="S70" s="3"/>
      <c r="T70" s="8">
        <v>6173.4</v>
      </c>
      <c r="U70" s="3"/>
      <c r="V70" s="7">
        <f t="shared" si="9"/>
        <v>5.6715771521083105E-2</v>
      </c>
      <c r="W70" s="3"/>
      <c r="X70" s="8">
        <f t="shared" si="10"/>
        <v>-551.46999999999935</v>
      </c>
      <c r="Y70" s="3"/>
      <c r="Z70" s="7">
        <f t="shared" si="11"/>
        <v>-8.9330028833381828E-2</v>
      </c>
    </row>
    <row r="71" spans="1:26" s="69" customFormat="1" ht="15" hidden="1" customHeight="1" outlineLevel="2" x14ac:dyDescent="0.3">
      <c r="A71" s="26"/>
      <c r="B71" s="12" t="str">
        <f>CONCATENATE("          ","6245"," - ","PRINTING")</f>
        <v xml:space="preserve">          6245 - PRINTING</v>
      </c>
      <c r="C71" s="12"/>
      <c r="D71" s="8">
        <v>502.78</v>
      </c>
      <c r="E71" s="3"/>
      <c r="F71" s="7">
        <f t="shared" si="4"/>
        <v>2.0797922441511785E-2</v>
      </c>
      <c r="G71" s="3"/>
      <c r="H71" s="8">
        <v>398.67</v>
      </c>
      <c r="I71" s="3"/>
      <c r="J71" s="7">
        <f t="shared" si="5"/>
        <v>8.9753951654843386E-2</v>
      </c>
      <c r="K71" s="3"/>
      <c r="L71" s="8">
        <f t="shared" si="6"/>
        <v>104.10999999999996</v>
      </c>
      <c r="M71" s="3"/>
      <c r="N71" s="7">
        <f t="shared" si="7"/>
        <v>0.26114330147741227</v>
      </c>
      <c r="O71" s="12"/>
      <c r="P71" s="8">
        <v>1661.33</v>
      </c>
      <c r="Q71" s="3"/>
      <c r="R71" s="7">
        <f t="shared" si="8"/>
        <v>1.134664399336739E-2</v>
      </c>
      <c r="S71" s="3"/>
      <c r="T71" s="8">
        <v>838.28</v>
      </c>
      <c r="U71" s="3"/>
      <c r="V71" s="7">
        <f t="shared" si="9"/>
        <v>7.7013796207427918E-3</v>
      </c>
      <c r="W71" s="3"/>
      <c r="X71" s="8">
        <f t="shared" si="10"/>
        <v>823.05</v>
      </c>
      <c r="Y71" s="3"/>
      <c r="Z71" s="7">
        <f t="shared" si="11"/>
        <v>0.98183184616118713</v>
      </c>
    </row>
    <row r="72" spans="1:26" s="69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8">
        <v>804.24</v>
      </c>
      <c r="E72" s="3"/>
      <c r="F72" s="7">
        <f t="shared" si="4"/>
        <v>3.3268071809462271E-2</v>
      </c>
      <c r="G72" s="3"/>
      <c r="H72" s="8">
        <v>-2563.2199999999998</v>
      </c>
      <c r="I72" s="3"/>
      <c r="J72" s="7">
        <f t="shared" si="5"/>
        <v>-0.57706655620118807</v>
      </c>
      <c r="K72" s="3"/>
      <c r="L72" s="8">
        <f t="shared" si="6"/>
        <v>3367.46</v>
      </c>
      <c r="M72" s="3"/>
      <c r="N72" s="7">
        <f t="shared" si="7"/>
        <v>-1.3137615967415985</v>
      </c>
      <c r="O72" s="12"/>
      <c r="P72" s="8">
        <v>12852.06</v>
      </c>
      <c r="Q72" s="3"/>
      <c r="R72" s="7">
        <f t="shared" si="8"/>
        <v>8.7777713880684324E-2</v>
      </c>
      <c r="S72" s="3"/>
      <c r="T72" s="8">
        <v>18001</v>
      </c>
      <c r="U72" s="3"/>
      <c r="V72" s="7">
        <f t="shared" si="9"/>
        <v>0.16537736144604548</v>
      </c>
      <c r="W72" s="3"/>
      <c r="X72" s="8">
        <f t="shared" si="10"/>
        <v>-5148.9400000000005</v>
      </c>
      <c r="Y72" s="3"/>
      <c r="Z72" s="7">
        <f t="shared" si="11"/>
        <v>-0.28603633131492695</v>
      </c>
    </row>
    <row r="73" spans="1:26" s="68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SUM(OSRRefD22_11x_0)</f>
        <v>143.55000000000001</v>
      </c>
      <c r="E73" s="2"/>
      <c r="F73" s="6">
        <f t="shared" si="4"/>
        <v>5.9380678755698657E-3</v>
      </c>
      <c r="G73" s="2"/>
      <c r="H73" s="2">
        <f>SUM(OSRRefH22_11x_0)</f>
        <v>82.1</v>
      </c>
      <c r="I73" s="2"/>
      <c r="J73" s="6">
        <f t="shared" si="5"/>
        <v>1.8483456068584647E-2</v>
      </c>
      <c r="K73" s="2"/>
      <c r="L73" s="2">
        <f t="shared" si="6"/>
        <v>61.450000000000017</v>
      </c>
      <c r="M73" s="2"/>
      <c r="N73" s="6">
        <f t="shared" si="7"/>
        <v>0.74847746650426339</v>
      </c>
      <c r="O73" s="14"/>
      <c r="P73" s="2">
        <f>SUM(OSRRefP22_11x_0)</f>
        <v>884.4</v>
      </c>
      <c r="Q73" s="2"/>
      <c r="R73" s="6">
        <f t="shared" si="8"/>
        <v>6.0403242870074696E-3</v>
      </c>
      <c r="S73" s="2"/>
      <c r="T73" s="2">
        <f>SUM(OSRRefT22_11x_0)</f>
        <v>1421.3</v>
      </c>
      <c r="U73" s="2"/>
      <c r="V73" s="6">
        <f t="shared" si="9"/>
        <v>1.3057654787137626E-2</v>
      </c>
      <c r="W73" s="2"/>
      <c r="X73" s="2">
        <f t="shared" si="10"/>
        <v>-536.9</v>
      </c>
      <c r="Y73" s="2"/>
      <c r="Z73" s="6">
        <f t="shared" si="11"/>
        <v>-0.37775276155632165</v>
      </c>
    </row>
    <row r="74" spans="1:26" s="69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8">
        <v>143.55000000000001</v>
      </c>
      <c r="E74" s="3"/>
      <c r="F74" s="7">
        <f t="shared" si="4"/>
        <v>5.9380678755698657E-3</v>
      </c>
      <c r="G74" s="3"/>
      <c r="H74" s="8">
        <v>82.1</v>
      </c>
      <c r="I74" s="3"/>
      <c r="J74" s="7">
        <f t="shared" si="5"/>
        <v>1.8483456068584647E-2</v>
      </c>
      <c r="K74" s="3"/>
      <c r="L74" s="8">
        <f t="shared" si="6"/>
        <v>61.450000000000017</v>
      </c>
      <c r="M74" s="3"/>
      <c r="N74" s="7">
        <f t="shared" si="7"/>
        <v>0.74847746650426339</v>
      </c>
      <c r="O74" s="12"/>
      <c r="P74" s="8">
        <v>884.4</v>
      </c>
      <c r="Q74" s="3"/>
      <c r="R74" s="7">
        <f t="shared" si="8"/>
        <v>6.0403242870074696E-3</v>
      </c>
      <c r="S74" s="3"/>
      <c r="T74" s="8">
        <v>1421.3</v>
      </c>
      <c r="U74" s="3"/>
      <c r="V74" s="7">
        <f t="shared" si="9"/>
        <v>1.3057654787137626E-2</v>
      </c>
      <c r="W74" s="3"/>
      <c r="X74" s="8">
        <f t="shared" si="10"/>
        <v>-536.9</v>
      </c>
      <c r="Y74" s="3"/>
      <c r="Z74" s="7">
        <f t="shared" si="11"/>
        <v>-0.37775276155632165</v>
      </c>
    </row>
    <row r="75" spans="1:26" s="68" customFormat="1" ht="15" customHeight="1" outlineLevel="1" collapsed="1" x14ac:dyDescent="0.3">
      <c r="A75" s="25"/>
      <c r="B75" s="14" t="str">
        <f>CONCATENATE("     ","Utilities                                         ")</f>
        <v xml:space="preserve">     Utilities                                         </v>
      </c>
      <c r="C75" s="14"/>
      <c r="D75" s="2">
        <f>SUM(OSRRefD22_12x_0)</f>
        <v>0</v>
      </c>
      <c r="E75" s="2"/>
      <c r="F75" s="6">
        <f t="shared" si="4"/>
        <v>0</v>
      </c>
      <c r="G75" s="2"/>
      <c r="H75" s="2">
        <f>SUM(OSRRefH22_12x_0)</f>
        <v>0</v>
      </c>
      <c r="I75" s="2"/>
      <c r="J75" s="6">
        <f t="shared" si="5"/>
        <v>0</v>
      </c>
      <c r="K75" s="2"/>
      <c r="L75" s="2">
        <f t="shared" si="6"/>
        <v>0</v>
      </c>
      <c r="M75" s="2"/>
      <c r="N75" s="6">
        <f t="shared" si="7"/>
        <v>0</v>
      </c>
      <c r="O75" s="14"/>
      <c r="P75" s="2">
        <f>SUM(OSRRefP22_12x_0)</f>
        <v>0</v>
      </c>
      <c r="Q75" s="2"/>
      <c r="R75" s="6">
        <f t="shared" si="8"/>
        <v>0</v>
      </c>
      <c r="S75" s="2"/>
      <c r="T75" s="2">
        <f>SUM(OSRRefT22_12x_0)</f>
        <v>15.02</v>
      </c>
      <c r="U75" s="2"/>
      <c r="V75" s="6">
        <f t="shared" si="9"/>
        <v>1.3799055435362496E-4</v>
      </c>
      <c r="W75" s="2"/>
      <c r="X75" s="2">
        <f t="shared" si="10"/>
        <v>-15.02</v>
      </c>
      <c r="Y75" s="2"/>
      <c r="Z75" s="6">
        <f t="shared" si="11"/>
        <v>-1</v>
      </c>
    </row>
    <row r="76" spans="1:26" s="69" customFormat="1" ht="15" hidden="1" customHeight="1" outlineLevel="2" x14ac:dyDescent="0.3">
      <c r="A76" s="26"/>
      <c r="B76" s="12" t="str">
        <f>CONCATENATE("          ","6274"," - ","UTILITIES")</f>
        <v xml:space="preserve">          6274 - UTILITIES</v>
      </c>
      <c r="C76" s="12"/>
      <c r="D76" s="8"/>
      <c r="E76" s="3"/>
      <c r="F76" s="7">
        <f t="shared" si="4"/>
        <v>0</v>
      </c>
      <c r="G76" s="3"/>
      <c r="H76" s="8"/>
      <c r="I76" s="3"/>
      <c r="J76" s="7">
        <f t="shared" si="5"/>
        <v>0</v>
      </c>
      <c r="K76" s="3"/>
      <c r="L76" s="8">
        <f t="shared" si="6"/>
        <v>0</v>
      </c>
      <c r="M76" s="3"/>
      <c r="N76" s="7">
        <f t="shared" si="7"/>
        <v>0</v>
      </c>
      <c r="O76" s="12"/>
      <c r="P76" s="8"/>
      <c r="Q76" s="3"/>
      <c r="R76" s="7">
        <f t="shared" si="8"/>
        <v>0</v>
      </c>
      <c r="S76" s="3"/>
      <c r="T76" s="8">
        <v>15.02</v>
      </c>
      <c r="U76" s="3"/>
      <c r="V76" s="7">
        <f t="shared" si="9"/>
        <v>1.3799055435362496E-4</v>
      </c>
      <c r="W76" s="3"/>
      <c r="X76" s="8">
        <f t="shared" si="10"/>
        <v>-15.02</v>
      </c>
      <c r="Y76" s="3"/>
      <c r="Z76" s="7">
        <f t="shared" si="11"/>
        <v>-1</v>
      </c>
    </row>
    <row r="77" spans="1:26" s="64" customFormat="1" ht="15" customHeight="1" x14ac:dyDescent="0.3">
      <c r="A77" s="36"/>
      <c r="B77" s="36"/>
      <c r="C77" s="36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3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62" customFormat="1" ht="15" customHeight="1" collapsed="1" x14ac:dyDescent="0.3">
      <c r="A78" s="11"/>
      <c r="B78" s="27" t="s">
        <v>290</v>
      </c>
      <c r="C78" s="11"/>
      <c r="D78" s="5">
        <f>SUM(OSRRefD25x_0)</f>
        <v>0</v>
      </c>
      <c r="E78" s="5"/>
      <c r="F78" s="13">
        <f>IF(D$12=0,0,D78/D$12)</f>
        <v>0</v>
      </c>
      <c r="G78" s="5"/>
      <c r="H78" s="5">
        <f>SUM(OSRRefH25x_0)</f>
        <v>6782</v>
      </c>
      <c r="I78" s="5"/>
      <c r="J78" s="13">
        <f>IF(H$12=0,0,H78/H$12)</f>
        <v>1.5268550433269317</v>
      </c>
      <c r="K78" s="5"/>
      <c r="L78" s="5">
        <f>+D78-H78</f>
        <v>-6782</v>
      </c>
      <c r="M78" s="5"/>
      <c r="N78" s="13">
        <f>IF(H78=0,0,L78/H78)</f>
        <v>-1</v>
      </c>
      <c r="O78" s="11"/>
      <c r="P78" s="5">
        <f>SUM(OSRRefP25x_0)</f>
        <v>15135.44</v>
      </c>
      <c r="Q78" s="5"/>
      <c r="R78" s="13">
        <f>IF(P$12=0,0,P78/P$12)</f>
        <v>0.10337286954607004</v>
      </c>
      <c r="S78" s="5"/>
      <c r="T78" s="5">
        <f>SUM(OSRRefT25x_0)</f>
        <v>54256</v>
      </c>
      <c r="U78" s="5"/>
      <c r="V78" s="13">
        <f>IF(T$12=0,0,T78/T$12)</f>
        <v>0.49845642589948574</v>
      </c>
      <c r="W78" s="5"/>
      <c r="X78" s="5">
        <f>+P78-T78</f>
        <v>-39120.559999999998</v>
      </c>
      <c r="Y78" s="5"/>
      <c r="Z78" s="13">
        <f>IF(T78=0,0,X78/T78)</f>
        <v>-0.72103656738425237</v>
      </c>
    </row>
    <row r="79" spans="1:26" s="69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0</f>
        <v>0</v>
      </c>
      <c r="E79" s="3"/>
      <c r="F79" s="20">
        <f>IF(D$12=0,0,D79/D$12)</f>
        <v>0</v>
      </c>
      <c r="G79" s="3"/>
      <c r="H79" s="3">
        <f>--6782</f>
        <v>6782</v>
      </c>
      <c r="I79" s="3"/>
      <c r="J79" s="20">
        <f>IF(H$12=0,0,H79/H$12)</f>
        <v>1.5268550433269317</v>
      </c>
      <c r="K79" s="3"/>
      <c r="L79" s="3">
        <f>+D79-H79</f>
        <v>-6782</v>
      </c>
      <c r="M79" s="3"/>
      <c r="N79" s="20">
        <f>IF(H79=0,0,L79/H79)</f>
        <v>-1</v>
      </c>
      <c r="O79" s="12"/>
      <c r="P79" s="3">
        <f>--15135.44</f>
        <v>15135.44</v>
      </c>
      <c r="Q79" s="3"/>
      <c r="R79" s="20">
        <f>IF(P$12=0,0,P79/P$12)</f>
        <v>0.10337286954607004</v>
      </c>
      <c r="S79" s="3"/>
      <c r="T79" s="3">
        <f>--54256</f>
        <v>54256</v>
      </c>
      <c r="U79" s="3"/>
      <c r="V79" s="20">
        <f>IF(T$12=0,0,T79/T$12)</f>
        <v>0.49845642589948574</v>
      </c>
      <c r="W79" s="3"/>
      <c r="X79" s="3">
        <f>+P79-T79</f>
        <v>-39120.559999999998</v>
      </c>
      <c r="Y79" s="3"/>
      <c r="Z79" s="20">
        <f>IF(T79=0,0,X79/T79)</f>
        <v>-0.72103656738425237</v>
      </c>
    </row>
    <row r="80" spans="1:26" s="69" customFormat="1" ht="15" hidden="1" customHeight="1" outlineLevel="1" x14ac:dyDescent="0.3">
      <c r="A80" s="42"/>
      <c r="B80" s="12" t="str">
        <f>CONCATENATE("          ","9163"," - ","MISC. INCOME")</f>
        <v xml:space="preserve">          9163 - MISC. INCOME</v>
      </c>
      <c r="C80" s="12"/>
      <c r="D80" s="3">
        <f>0</f>
        <v>0</v>
      </c>
      <c r="E80" s="3"/>
      <c r="F80" s="20">
        <f>IF(D$12=0,0,D80/D$12)</f>
        <v>0</v>
      </c>
      <c r="G80" s="3"/>
      <c r="H80" s="3">
        <f>0</f>
        <v>0</v>
      </c>
      <c r="I80" s="3"/>
      <c r="J80" s="20">
        <f>IF(H$12=0,0,H80/H$12)</f>
        <v>0</v>
      </c>
      <c r="K80" s="3"/>
      <c r="L80" s="3">
        <f>+D80-H80</f>
        <v>0</v>
      </c>
      <c r="M80" s="3"/>
      <c r="N80" s="20">
        <f>IF(H80=0,0,L80/H80)</f>
        <v>0</v>
      </c>
      <c r="O80" s="12"/>
      <c r="P80" s="3">
        <f>0</f>
        <v>0</v>
      </c>
      <c r="Q80" s="3"/>
      <c r="R80" s="20">
        <f>IF(P$12=0,0,P80/P$12)</f>
        <v>0</v>
      </c>
      <c r="S80" s="3"/>
      <c r="T80" s="3">
        <f>0</f>
        <v>0</v>
      </c>
      <c r="U80" s="3"/>
      <c r="V80" s="20">
        <f>IF(T$12=0,0,T80/T$12)</f>
        <v>0</v>
      </c>
      <c r="W80" s="3"/>
      <c r="X80" s="3">
        <f>+P80-T80</f>
        <v>0</v>
      </c>
      <c r="Y80" s="3"/>
      <c r="Z80" s="20">
        <f>IF(T80=0,0,X80/T80)</f>
        <v>0</v>
      </c>
    </row>
    <row r="81" spans="1:26" ht="15" customHeight="1" x14ac:dyDescent="0.3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3">
      <c r="A82" s="11"/>
      <c r="B82" s="28" t="s">
        <v>291</v>
      </c>
      <c r="C82" s="28"/>
      <c r="D82" s="23">
        <f>+D32-D34+D78</f>
        <v>3238.2300000000032</v>
      </c>
      <c r="E82" s="15"/>
      <c r="F82" s="22">
        <f>IF(D$12=0,0,D82/D$12)</f>
        <v>0.13395213888336208</v>
      </c>
      <c r="G82" s="15"/>
      <c r="H82" s="23">
        <f>+H32-H34+H78</f>
        <v>-16368.849999999991</v>
      </c>
      <c r="I82" s="15"/>
      <c r="J82" s="22">
        <f>IF(H$12=0,0,H82/H$12)</f>
        <v>-3.6851756378593379</v>
      </c>
      <c r="K82" s="17"/>
      <c r="L82" s="23">
        <f>+D82-H82</f>
        <v>19607.079999999994</v>
      </c>
      <c r="M82" s="17"/>
      <c r="N82" s="22">
        <f>IF(H82=0,0,L82/H82)</f>
        <v>-1.1978288028786388</v>
      </c>
      <c r="O82" s="27"/>
      <c r="P82" s="23">
        <f>+P32-P34+P78</f>
        <v>-21442.800000000017</v>
      </c>
      <c r="Q82" s="15"/>
      <c r="R82" s="22">
        <f>IF(P$12=0,0,P82/P$12)</f>
        <v>-0.1464512275231161</v>
      </c>
      <c r="S82" s="15"/>
      <c r="T82" s="23">
        <f>+T32-T34+T78</f>
        <v>-74720.379999999946</v>
      </c>
      <c r="U82" s="15"/>
      <c r="V82" s="22">
        <f>IF(T$12=0,0,T82/T$12)</f>
        <v>-0.68646515697160482</v>
      </c>
      <c r="W82" s="17"/>
      <c r="X82" s="23">
        <f>+P82-T82</f>
        <v>53277.579999999929</v>
      </c>
      <c r="Y82" s="17"/>
      <c r="Z82" s="22">
        <f>IF(T82=0,0,X82/T82)</f>
        <v>-0.71302608471744877</v>
      </c>
    </row>
    <row r="83" spans="1:26" ht="15" customHeight="1" x14ac:dyDescent="0.3">
      <c r="A83" s="10"/>
      <c r="B83" s="11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48"/>
      <c r="B84" s="11" t="s">
        <v>292</v>
      </c>
      <c r="C84" s="11"/>
      <c r="D84" s="5">
        <v>2095.2600000000002</v>
      </c>
      <c r="E84" s="5"/>
      <c r="F84" s="13">
        <f>IF(D$12=0,0,D84/D$12)</f>
        <v>8.6672212448390934E-2</v>
      </c>
      <c r="G84" s="5"/>
      <c r="H84" s="5">
        <v>2603.31</v>
      </c>
      <c r="I84" s="5"/>
      <c r="J84" s="13">
        <f>IF(H$12=0,0,H84/H$12)</f>
        <v>0.58609215612554322</v>
      </c>
      <c r="K84" s="5"/>
      <c r="L84" s="5">
        <f>+D84-H84</f>
        <v>-508.04999999999973</v>
      </c>
      <c r="M84" s="5"/>
      <c r="N84" s="13">
        <f>IF(H84=0,0,L84/H84)</f>
        <v>-0.1951553983198312</v>
      </c>
      <c r="O84" s="11"/>
      <c r="P84" s="5">
        <v>18276.04</v>
      </c>
      <c r="Q84" s="5"/>
      <c r="R84" s="13">
        <f>IF(P$12=0,0,P84/P$12)</f>
        <v>0.12482271402342832</v>
      </c>
      <c r="S84" s="5"/>
      <c r="T84" s="5">
        <v>21555.8</v>
      </c>
      <c r="U84" s="5"/>
      <c r="V84" s="13">
        <f>IF(T$12=0,0,T84/T$12)</f>
        <v>0.1980357384511231</v>
      </c>
      <c r="W84" s="5"/>
      <c r="X84" s="5">
        <f>+P84-T84</f>
        <v>-3279.7599999999984</v>
      </c>
      <c r="Y84" s="5"/>
      <c r="Z84" s="13">
        <f>IF(T84=0,0,X84/T84)</f>
        <v>-0.15215208899692884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293</v>
      </c>
      <c r="C86" s="28"/>
      <c r="D86" s="33">
        <f>+D82-D84</f>
        <v>1142.970000000003</v>
      </c>
      <c r="E86" s="15"/>
      <c r="F86" s="34">
        <f>IF(D$12=0,0,D86/D$12)</f>
        <v>4.7279926434971142E-2</v>
      </c>
      <c r="G86" s="15"/>
      <c r="H86" s="33">
        <f>+H82-H84</f>
        <v>-18972.159999999993</v>
      </c>
      <c r="I86" s="15"/>
      <c r="J86" s="34">
        <f>IF(H$12=0,0,H86/H$12)</f>
        <v>-4.2712677939848813</v>
      </c>
      <c r="K86" s="17"/>
      <c r="L86" s="33">
        <f>D86-H86</f>
        <v>20115.129999999997</v>
      </c>
      <c r="M86" s="17"/>
      <c r="N86" s="34">
        <f>IF(H86=0,0,L86/H86)</f>
        <v>-1.0602445899676161</v>
      </c>
      <c r="O86" s="27"/>
      <c r="P86" s="33">
        <f>+P82-P84</f>
        <v>-39718.840000000018</v>
      </c>
      <c r="Q86" s="15"/>
      <c r="R86" s="34">
        <f>IF(P$12=0,0,P86/P$12)</f>
        <v>-0.27127394154654438</v>
      </c>
      <c r="S86" s="15"/>
      <c r="T86" s="33">
        <f>+T82-T84</f>
        <v>-96276.179999999949</v>
      </c>
      <c r="U86" s="15"/>
      <c r="V86" s="34">
        <f>IF(T$12=0,0,T86/T$12)</f>
        <v>-0.88450089542272792</v>
      </c>
      <c r="W86" s="17"/>
      <c r="X86" s="33">
        <f>P86-T86</f>
        <v>56557.339999999931</v>
      </c>
      <c r="Y86" s="17"/>
      <c r="Z86" s="34">
        <f>IF(T86=0,0,X86/T86)</f>
        <v>-0.5874489411607311</v>
      </c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ht="15" customHeight="1" x14ac:dyDescent="0.3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8" t="s">
        <v>296</v>
      </c>
      <c r="C89" s="28"/>
      <c r="D89" s="35">
        <f>SUM(D86:D88)</f>
        <v>1142.970000000003</v>
      </c>
      <c r="E89" s="15"/>
      <c r="F89" s="29">
        <f>IF(D$12=0,0,D89/D$12)</f>
        <v>4.7279926434971142E-2</v>
      </c>
      <c r="G89" s="15"/>
      <c r="H89" s="35">
        <f>SUM(H86:H88)</f>
        <v>-18972.159999999993</v>
      </c>
      <c r="I89" s="15"/>
      <c r="J89" s="29">
        <f>IF(H$12=0,0,H89/H$12)</f>
        <v>-4.2712677939848813</v>
      </c>
      <c r="K89" s="17"/>
      <c r="L89" s="35">
        <f>+D89-H89</f>
        <v>20115.129999999997</v>
      </c>
      <c r="M89" s="17"/>
      <c r="N89" s="29">
        <f>IF(H89=0,0,L89/H89)</f>
        <v>-1.0602445899676161</v>
      </c>
      <c r="O89" s="27"/>
      <c r="P89" s="35">
        <f>SUM(P86:P88)</f>
        <v>-39718.840000000018</v>
      </c>
      <c r="Q89" s="15"/>
      <c r="R89" s="29">
        <f>IF(P$12=0,0,P89/P$12)</f>
        <v>-0.27127394154654438</v>
      </c>
      <c r="S89" s="15"/>
      <c r="T89" s="35">
        <f>SUM(T86:T88)</f>
        <v>-96276.179999999949</v>
      </c>
      <c r="U89" s="15"/>
      <c r="V89" s="29">
        <f>IF(T$12=0,0,T89/T$12)</f>
        <v>-0.88450089542272792</v>
      </c>
      <c r="W89" s="17"/>
      <c r="X89" s="35">
        <f>+P89-T89</f>
        <v>56557.339999999931</v>
      </c>
      <c r="Y89" s="17"/>
      <c r="Z89" s="29">
        <f>IF(T89=0,0,X89/T89)</f>
        <v>-0.5874489411607311</v>
      </c>
    </row>
    <row r="90" spans="1:26" ht="15" customHeight="1" x14ac:dyDescent="0.3">
      <c r="A90" s="10"/>
      <c r="C90" s="10"/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3">
      <c r="A91" s="10"/>
      <c r="B91" s="50">
        <v>44634.88777079861</v>
      </c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3">
      <c r="A92" s="10"/>
      <c r="B92" s="58" t="s">
        <v>297</v>
      </c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3">
      <c r="A93" s="10"/>
      <c r="B93" s="56"/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3"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D9FF-7CF7-C74C-C447-1664435D0BFC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","316"," - ","Campus Copy Center")</f>
        <v>Department 316 - Campus Copy Center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24174.530000000002</v>
      </c>
      <c r="E12" s="5"/>
      <c r="F12" s="13"/>
      <c r="G12" s="5"/>
      <c r="H12" s="5">
        <f>SUM(OSRRefH13x_0)</f>
        <v>4441.8100000000013</v>
      </c>
      <c r="I12" s="5"/>
      <c r="J12" s="13"/>
      <c r="K12" s="5"/>
      <c r="L12" s="5">
        <f t="shared" ref="L12:L25" si="0">+D12-H12</f>
        <v>19732.72</v>
      </c>
      <c r="M12" s="5"/>
      <c r="N12" s="13">
        <f t="shared" ref="N12:N25" si="1">IF(H12=0,0,L12/H12)</f>
        <v>4.4424952890826024</v>
      </c>
      <c r="O12" s="11"/>
      <c r="P12" s="5">
        <f>SUM(OSRRefP13x_0)</f>
        <v>146415.98000000001</v>
      </c>
      <c r="Q12" s="5"/>
      <c r="R12" s="13"/>
      <c r="S12" s="5"/>
      <c r="T12" s="5">
        <f>SUM(OSRRefT13x_0)</f>
        <v>108848.03</v>
      </c>
      <c r="U12" s="5"/>
      <c r="V12" s="13"/>
      <c r="W12" s="5"/>
      <c r="X12" s="5">
        <f t="shared" ref="X12:X25" si="2">+P12-T12</f>
        <v>37567.950000000012</v>
      </c>
      <c r="Y12" s="5"/>
      <c r="Z12" s="13">
        <f t="shared" ref="Z12:Z25" si="3">IF(T12=0,0,X12/T12)</f>
        <v>0.34514129470234794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--17204.32</f>
        <v>17204.32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17204.32</v>
      </c>
      <c r="M13" s="3"/>
      <c r="N13" s="20">
        <f t="shared" si="1"/>
        <v>0</v>
      </c>
      <c r="O13" s="12"/>
      <c r="P13" s="3">
        <f>--117516.11</f>
        <v>117516.11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117525.39</v>
      </c>
      <c r="Y13" s="3"/>
      <c r="Z13" s="20">
        <f t="shared" si="3"/>
        <v>-12664.373922413793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--3560.25</f>
        <v>3560.25</v>
      </c>
      <c r="I14" s="3"/>
      <c r="J14" s="20"/>
      <c r="K14" s="3"/>
      <c r="L14" s="3">
        <f t="shared" si="0"/>
        <v>-3560.25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--92066.22</f>
        <v>92066.22</v>
      </c>
      <c r="U14" s="3"/>
      <c r="V14" s="20"/>
      <c r="W14" s="3"/>
      <c r="X14" s="3">
        <f t="shared" si="2"/>
        <v>-92066.22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--603.05</f>
        <v>603.04999999999995</v>
      </c>
      <c r="I15" s="3"/>
      <c r="J15" s="20"/>
      <c r="K15" s="3"/>
      <c r="L15" s="3">
        <f t="shared" si="0"/>
        <v>-603.04999999999995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--15148.63</f>
        <v>15148.63</v>
      </c>
      <c r="U15" s="3"/>
      <c r="V15" s="20"/>
      <c r="W15" s="3"/>
      <c r="X15" s="3">
        <f t="shared" si="2"/>
        <v>-15148.63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--3.47</f>
        <v>3.47</v>
      </c>
      <c r="I16" s="3"/>
      <c r="J16" s="20"/>
      <c r="K16" s="3"/>
      <c r="L16" s="3">
        <f t="shared" si="0"/>
        <v>-3.47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--37.78</f>
        <v>37.78</v>
      </c>
      <c r="U16" s="3"/>
      <c r="V16" s="20"/>
      <c r="W16" s="3"/>
      <c r="X16" s="3">
        <f t="shared" si="2"/>
        <v>-37.78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--139.85</f>
        <v>139.85</v>
      </c>
      <c r="I17" s="3"/>
      <c r="J17" s="20"/>
      <c r="K17" s="3"/>
      <c r="L17" s="3">
        <f t="shared" si="0"/>
        <v>-139.85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--139.85</f>
        <v>139.85</v>
      </c>
      <c r="U17" s="3"/>
      <c r="V17" s="20"/>
      <c r="W17" s="3"/>
      <c r="X17" s="3">
        <f t="shared" si="2"/>
        <v>-139.85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--7098.56</f>
        <v>7098.56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7098.56</v>
      </c>
      <c r="M18" s="3"/>
      <c r="N18" s="20">
        <f t="shared" si="1"/>
        <v>0</v>
      </c>
      <c r="O18" s="12"/>
      <c r="P18" s="3">
        <f>--29586.62</f>
        <v>29586.62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29586.62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--50.39</f>
        <v>50.39</v>
      </c>
      <c r="I19" s="3"/>
      <c r="J19" s="20"/>
      <c r="K19" s="3"/>
      <c r="L19" s="3">
        <f t="shared" si="0"/>
        <v>-50.39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--1278.64</f>
        <v>1278.6400000000001</v>
      </c>
      <c r="U19" s="3"/>
      <c r="V19" s="20"/>
      <c r="W19" s="3"/>
      <c r="X19" s="3">
        <f t="shared" si="2"/>
        <v>-1278.6400000000001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--1110.59</f>
        <v>1110.5899999999999</v>
      </c>
      <c r="U20" s="3"/>
      <c r="V20" s="20"/>
      <c r="W20" s="3"/>
      <c r="X20" s="3">
        <f t="shared" si="2"/>
        <v>-1110.5899999999999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--67.8</f>
        <v>67.8</v>
      </c>
      <c r="I21" s="3"/>
      <c r="J21" s="20"/>
      <c r="K21" s="3"/>
      <c r="L21" s="3">
        <f t="shared" si="0"/>
        <v>-67.8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--208.4</f>
        <v>208.4</v>
      </c>
      <c r="U21" s="3"/>
      <c r="V21" s="20"/>
      <c r="W21" s="3"/>
      <c r="X21" s="3">
        <f t="shared" si="2"/>
        <v>-208.4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--17</f>
        <v>17</v>
      </c>
      <c r="I22" s="3"/>
      <c r="J22" s="20"/>
      <c r="K22" s="3"/>
      <c r="L22" s="3">
        <f t="shared" si="0"/>
        <v>-17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--132.5</f>
        <v>132.5</v>
      </c>
      <c r="U22" s="3"/>
      <c r="V22" s="20"/>
      <c r="W22" s="3"/>
      <c r="X22" s="3">
        <f t="shared" si="2"/>
        <v>-132.5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-128.35</f>
        <v>-128.35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-128.35</v>
      </c>
      <c r="M23" s="3"/>
      <c r="N23" s="20">
        <f t="shared" si="1"/>
        <v>0</v>
      </c>
      <c r="O23" s="12"/>
      <c r="P23" s="3">
        <f>-686.75</f>
        <v>-686.75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-686.75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-1254.1</f>
        <v>-1254.0999999999999</v>
      </c>
      <c r="U24" s="3"/>
      <c r="V24" s="20"/>
      <c r="W24" s="3"/>
      <c r="X24" s="3">
        <f t="shared" si="2"/>
        <v>1254.0999999999999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5.641460720339405E-5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>
        <v>8.26</v>
      </c>
      <c r="Q28" s="3"/>
      <c r="R28" s="20">
        <f>IF(P$12=0,0,P28/P$12)</f>
        <v>5.641460720339405E-5</v>
      </c>
      <c r="S28" s="3"/>
      <c r="T28" s="3"/>
      <c r="U28" s="3"/>
      <c r="V28" s="20">
        <f>IF(T$12=0,0,T28/T$12)</f>
        <v>0</v>
      </c>
      <c r="W28" s="3"/>
      <c r="X28" s="3">
        <f>+P28-T28</f>
        <v>8.26</v>
      </c>
      <c r="Y28" s="3"/>
      <c r="Z28" s="20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288</v>
      </c>
      <c r="C30" s="28"/>
      <c r="D30" s="23">
        <f>D12-D27</f>
        <v>24174.530000000002</v>
      </c>
      <c r="E30" s="15"/>
      <c r="F30" s="22">
        <f>IF(D$12=0,0,D30/D$12)</f>
        <v>1</v>
      </c>
      <c r="G30" s="15"/>
      <c r="H30" s="23">
        <f>H12-H27</f>
        <v>4441.8100000000013</v>
      </c>
      <c r="I30" s="15"/>
      <c r="J30" s="22">
        <f>IF(H$12=0,0,H30/H$12)</f>
        <v>1</v>
      </c>
      <c r="K30" s="17"/>
      <c r="L30" s="23">
        <f>+D30-H30</f>
        <v>19732.72</v>
      </c>
      <c r="M30" s="17"/>
      <c r="N30" s="22">
        <f>IF(H30=0,0,L30/H30)</f>
        <v>4.4424952890826024</v>
      </c>
      <c r="O30" s="27"/>
      <c r="P30" s="23">
        <f>P12-P27</f>
        <v>146407.72</v>
      </c>
      <c r="Q30" s="15"/>
      <c r="R30" s="22">
        <f>IF(P$12=0,0,P30/P$12)</f>
        <v>0.9999435853927966</v>
      </c>
      <c r="S30" s="15"/>
      <c r="T30" s="23">
        <f>T12-T27</f>
        <v>108848.03</v>
      </c>
      <c r="U30" s="15"/>
      <c r="V30" s="22">
        <f>IF(T$12=0,0,T30/T$12)</f>
        <v>1</v>
      </c>
      <c r="W30" s="17"/>
      <c r="X30" s="23">
        <f>+P30-T30</f>
        <v>37559.69</v>
      </c>
      <c r="Y30" s="17"/>
      <c r="Z30" s="22">
        <f>IF(T30=0,0,X30/T30)</f>
        <v>0.34506540908457417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7" t="s">
        <v>289</v>
      </c>
      <c r="C32" s="11"/>
      <c r="D32" s="21" cm="1">
        <f t="array" ref="D32">SUM(OSRRefD22x_0)</f>
        <v>20936.3</v>
      </c>
      <c r="E32" s="21"/>
      <c r="F32" s="30">
        <f t="shared" ref="F32:F74" si="4">IF(D$12=0,0,D32/D$12)</f>
        <v>0.8660478611166379</v>
      </c>
      <c r="G32" s="21"/>
      <c r="H32" s="21" cm="1">
        <f t="array" ref="H32">SUM(OSRRefH22x_0)</f>
        <v>27592.659999999993</v>
      </c>
      <c r="I32" s="21"/>
      <c r="J32" s="30">
        <f t="shared" ref="J32:J74" si="5">IF(H$12=0,0,H32/H$12)</f>
        <v>6.2120306811862696</v>
      </c>
      <c r="K32" s="5"/>
      <c r="L32" s="21">
        <f t="shared" ref="L32:L74" si="6">+D32-H32</f>
        <v>-6656.3599999999933</v>
      </c>
      <c r="M32" s="5"/>
      <c r="N32" s="30">
        <f t="shared" ref="N32:N74" si="7">IF(H32=0,0,L32/H32)</f>
        <v>-0.24123661872396482</v>
      </c>
      <c r="O32" s="11"/>
      <c r="P32" s="21" cm="1">
        <f t="array" ref="P32">SUM(OSRRefP22x_0)</f>
        <v>182985.96000000002</v>
      </c>
      <c r="Q32" s="21"/>
      <c r="R32" s="30">
        <f t="shared" ref="R32:R74" si="8">IF(P$12=0,0,P32/P$12)</f>
        <v>1.2497676824619828</v>
      </c>
      <c r="S32" s="21"/>
      <c r="T32" s="21" cm="1">
        <f t="array" ref="T32">SUM(OSRRefT22x_0)</f>
        <v>237824.40999999995</v>
      </c>
      <c r="U32" s="21"/>
      <c r="V32" s="30">
        <f t="shared" ref="V32:V74" si="9">IF(T$12=0,0,T32/T$12)</f>
        <v>2.1849215828710906</v>
      </c>
      <c r="W32" s="5"/>
      <c r="X32" s="21">
        <f t="shared" ref="X32:X74" si="10">+P32-T32</f>
        <v>-54838.449999999924</v>
      </c>
      <c r="Y32" s="5"/>
      <c r="Z32" s="30">
        <f t="shared" ref="Z32:Z74" si="11">IF(T32=0,0,X32/T32)</f>
        <v>-0.23058377397004765</v>
      </c>
    </row>
    <row r="33" spans="1:26" s="68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4515.66</v>
      </c>
      <c r="E33" s="2"/>
      <c r="F33" s="6">
        <f t="shared" si="4"/>
        <v>0.18679411761055953</v>
      </c>
      <c r="G33" s="2"/>
      <c r="H33" s="2">
        <f>SUM(OSRRefH22_0x_0)</f>
        <v>8802.75</v>
      </c>
      <c r="I33" s="2"/>
      <c r="J33" s="6">
        <f t="shared" si="5"/>
        <v>1.9817934580722718</v>
      </c>
      <c r="K33" s="2"/>
      <c r="L33" s="2">
        <f t="shared" si="6"/>
        <v>-4287.09</v>
      </c>
      <c r="M33" s="2"/>
      <c r="N33" s="6">
        <f t="shared" si="7"/>
        <v>-0.48701712533015251</v>
      </c>
      <c r="O33" s="14"/>
      <c r="P33" s="2">
        <f>SUM(OSRRefP22_0x_0)</f>
        <v>62759.21</v>
      </c>
      <c r="Q33" s="2"/>
      <c r="R33" s="6">
        <f t="shared" si="8"/>
        <v>0.42863634147037771</v>
      </c>
      <c r="S33" s="2"/>
      <c r="T33" s="2">
        <f>SUM(OSRRefT22_0x_0)</f>
        <v>75487.97</v>
      </c>
      <c r="U33" s="2"/>
      <c r="V33" s="6">
        <f t="shared" si="9"/>
        <v>0.69351709902328962</v>
      </c>
      <c r="W33" s="2"/>
      <c r="X33" s="2">
        <f t="shared" si="10"/>
        <v>-12728.760000000002</v>
      </c>
      <c r="Y33" s="2"/>
      <c r="Z33" s="6">
        <f t="shared" si="11"/>
        <v>-0.16861971516786053</v>
      </c>
    </row>
    <row r="34" spans="1:26" s="69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8">
        <v>665.6</v>
      </c>
      <c r="E34" s="3"/>
      <c r="F34" s="7">
        <f t="shared" si="4"/>
        <v>2.7533110261088838E-2</v>
      </c>
      <c r="G34" s="3"/>
      <c r="H34" s="8">
        <v>1213.6400000000001</v>
      </c>
      <c r="I34" s="3"/>
      <c r="J34" s="7">
        <f t="shared" si="5"/>
        <v>0.27323095765014704</v>
      </c>
      <c r="K34" s="3"/>
      <c r="L34" s="8">
        <f t="shared" si="6"/>
        <v>-548.04000000000008</v>
      </c>
      <c r="M34" s="3"/>
      <c r="N34" s="7">
        <f t="shared" si="7"/>
        <v>-0.45156718631554665</v>
      </c>
      <c r="O34" s="12"/>
      <c r="P34" s="8">
        <v>10509.21</v>
      </c>
      <c r="Q34" s="3"/>
      <c r="R34" s="7">
        <f t="shared" si="8"/>
        <v>7.1776386703145373E-2</v>
      </c>
      <c r="S34" s="3"/>
      <c r="T34" s="8">
        <v>10254.049999999999</v>
      </c>
      <c r="U34" s="3"/>
      <c r="V34" s="7">
        <f t="shared" si="9"/>
        <v>9.4205195996656985E-2</v>
      </c>
      <c r="W34" s="3"/>
      <c r="X34" s="8">
        <f t="shared" si="10"/>
        <v>255.15999999999985</v>
      </c>
      <c r="Y34" s="3"/>
      <c r="Z34" s="7">
        <f t="shared" si="11"/>
        <v>2.4883826390548112E-2</v>
      </c>
    </row>
    <row r="35" spans="1:26" s="69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8">
        <v>179.21</v>
      </c>
      <c r="E35" s="3"/>
      <c r="F35" s="7">
        <f t="shared" si="4"/>
        <v>7.4131741134160619E-3</v>
      </c>
      <c r="G35" s="3"/>
      <c r="H35" s="8">
        <v>313.57</v>
      </c>
      <c r="I35" s="3"/>
      <c r="J35" s="7">
        <f t="shared" si="5"/>
        <v>7.0595095242705089E-2</v>
      </c>
      <c r="K35" s="3"/>
      <c r="L35" s="8">
        <f t="shared" si="6"/>
        <v>-134.35999999999999</v>
      </c>
      <c r="M35" s="3"/>
      <c r="N35" s="7">
        <f t="shared" si="7"/>
        <v>-0.42848486781260958</v>
      </c>
      <c r="O35" s="12"/>
      <c r="P35" s="8">
        <v>2354.13</v>
      </c>
      <c r="Q35" s="3"/>
      <c r="R35" s="7">
        <f t="shared" si="8"/>
        <v>1.6078367948635115E-2</v>
      </c>
      <c r="S35" s="3"/>
      <c r="T35" s="8">
        <v>2718.6</v>
      </c>
      <c r="U35" s="3"/>
      <c r="V35" s="7">
        <f t="shared" si="9"/>
        <v>2.49761065955902E-2</v>
      </c>
      <c r="W35" s="3"/>
      <c r="X35" s="8">
        <f t="shared" si="10"/>
        <v>-364.4699999999998</v>
      </c>
      <c r="Y35" s="3"/>
      <c r="Z35" s="7">
        <f t="shared" si="11"/>
        <v>-0.13406532774222019</v>
      </c>
    </row>
    <row r="36" spans="1:26" s="69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8">
        <v>1287</v>
      </c>
      <c r="E36" s="3"/>
      <c r="F36" s="7">
        <f t="shared" si="4"/>
        <v>5.3237849918902243E-2</v>
      </c>
      <c r="G36" s="3"/>
      <c r="H36" s="8">
        <v>3421.48</v>
      </c>
      <c r="I36" s="3"/>
      <c r="J36" s="7">
        <f t="shared" si="5"/>
        <v>0.77028958915397083</v>
      </c>
      <c r="K36" s="3"/>
      <c r="L36" s="8">
        <f t="shared" si="6"/>
        <v>-2134.48</v>
      </c>
      <c r="M36" s="3"/>
      <c r="N36" s="7">
        <f t="shared" si="7"/>
        <v>-0.62384699019137912</v>
      </c>
      <c r="O36" s="12"/>
      <c r="P36" s="8">
        <v>20460.02</v>
      </c>
      <c r="Q36" s="3"/>
      <c r="R36" s="7">
        <f t="shared" si="8"/>
        <v>0.13973898204280708</v>
      </c>
      <c r="S36" s="3"/>
      <c r="T36" s="8">
        <v>29214.29</v>
      </c>
      <c r="U36" s="3"/>
      <c r="V36" s="7">
        <f t="shared" si="9"/>
        <v>0.26839521119491094</v>
      </c>
      <c r="W36" s="3"/>
      <c r="X36" s="8">
        <f t="shared" si="10"/>
        <v>-8754.27</v>
      </c>
      <c r="Y36" s="3"/>
      <c r="Z36" s="7">
        <f t="shared" si="11"/>
        <v>-0.29965711985470123</v>
      </c>
    </row>
    <row r="37" spans="1:26" s="69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8">
        <v>31.48</v>
      </c>
      <c r="E37" s="3"/>
      <c r="F37" s="7">
        <f t="shared" si="4"/>
        <v>1.3021969816993338E-3</v>
      </c>
      <c r="G37" s="3"/>
      <c r="H37" s="8">
        <v>44.07</v>
      </c>
      <c r="I37" s="3"/>
      <c r="J37" s="7">
        <f t="shared" si="5"/>
        <v>9.9216310468029888E-3</v>
      </c>
      <c r="K37" s="3"/>
      <c r="L37" s="8">
        <f t="shared" si="6"/>
        <v>-12.59</v>
      </c>
      <c r="M37" s="3"/>
      <c r="N37" s="7">
        <f t="shared" si="7"/>
        <v>-0.28568186975266618</v>
      </c>
      <c r="O37" s="12"/>
      <c r="P37" s="8">
        <v>413.56</v>
      </c>
      <c r="Q37" s="3"/>
      <c r="R37" s="7">
        <f t="shared" si="8"/>
        <v>2.8245550793021359E-3</v>
      </c>
      <c r="S37" s="3"/>
      <c r="T37" s="8">
        <v>382.06</v>
      </c>
      <c r="U37" s="3"/>
      <c r="V37" s="7">
        <f t="shared" si="9"/>
        <v>3.5100313712613817E-3</v>
      </c>
      <c r="W37" s="3"/>
      <c r="X37" s="8">
        <f t="shared" si="10"/>
        <v>31.5</v>
      </c>
      <c r="Y37" s="3"/>
      <c r="Z37" s="7">
        <f t="shared" si="11"/>
        <v>8.244778307072187E-2</v>
      </c>
    </row>
    <row r="38" spans="1:26" s="69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8">
        <v>811.71</v>
      </c>
      <c r="E38" s="3"/>
      <c r="F38" s="7">
        <f t="shared" si="4"/>
        <v>3.3577074714585972E-2</v>
      </c>
      <c r="G38" s="3"/>
      <c r="H38" s="8">
        <v>1614.45</v>
      </c>
      <c r="I38" s="3"/>
      <c r="J38" s="7">
        <f t="shared" si="5"/>
        <v>0.36346669488339206</v>
      </c>
      <c r="K38" s="3"/>
      <c r="L38" s="8">
        <f t="shared" si="6"/>
        <v>-802.74</v>
      </c>
      <c r="M38" s="3"/>
      <c r="N38" s="7">
        <f t="shared" si="7"/>
        <v>-0.49722196413639319</v>
      </c>
      <c r="O38" s="12"/>
      <c r="P38" s="8">
        <v>13291.83</v>
      </c>
      <c r="Q38" s="3"/>
      <c r="R38" s="7">
        <f t="shared" si="8"/>
        <v>9.0781279475095539E-2</v>
      </c>
      <c r="S38" s="3"/>
      <c r="T38" s="8">
        <v>14100.34</v>
      </c>
      <c r="U38" s="3"/>
      <c r="V38" s="7">
        <f t="shared" si="9"/>
        <v>0.12954152684251613</v>
      </c>
      <c r="W38" s="3"/>
      <c r="X38" s="8">
        <f t="shared" si="10"/>
        <v>-808.51000000000022</v>
      </c>
      <c r="Y38" s="3"/>
      <c r="Z38" s="7">
        <f t="shared" si="11"/>
        <v>-5.7339752091084342E-2</v>
      </c>
    </row>
    <row r="39" spans="1:26" s="69" customFormat="1" ht="15" hidden="1" customHeight="1" outlineLevel="2" x14ac:dyDescent="0.3">
      <c r="A39" s="26"/>
      <c r="B39" s="12" t="str">
        <f>CONCATENATE("          ","6118"," - ","VACATION")</f>
        <v xml:space="preserve">          6118 - VACATION</v>
      </c>
      <c r="C39" s="12"/>
      <c r="D39" s="8">
        <v>640.52</v>
      </c>
      <c r="E39" s="3"/>
      <c r="F39" s="7">
        <f t="shared" si="4"/>
        <v>2.6495654724207663E-2</v>
      </c>
      <c r="G39" s="3"/>
      <c r="H39" s="8">
        <v>1216.0999999999999</v>
      </c>
      <c r="I39" s="3"/>
      <c r="J39" s="7">
        <f t="shared" si="5"/>
        <v>0.27378478593186101</v>
      </c>
      <c r="K39" s="3"/>
      <c r="L39" s="8">
        <f t="shared" si="6"/>
        <v>-575.57999999999993</v>
      </c>
      <c r="M39" s="3"/>
      <c r="N39" s="7">
        <f t="shared" si="7"/>
        <v>-0.47329989310089626</v>
      </c>
      <c r="O39" s="12"/>
      <c r="P39" s="8">
        <v>6884.67</v>
      </c>
      <c r="Q39" s="3"/>
      <c r="R39" s="7">
        <f t="shared" si="8"/>
        <v>4.7021301909805198E-2</v>
      </c>
      <c r="S39" s="3"/>
      <c r="T39" s="8">
        <v>10099.629999999999</v>
      </c>
      <c r="U39" s="3"/>
      <c r="V39" s="7">
        <f t="shared" si="9"/>
        <v>9.2786520803362263E-2</v>
      </c>
      <c r="W39" s="3"/>
      <c r="X39" s="8">
        <f t="shared" si="10"/>
        <v>-3214.9599999999991</v>
      </c>
      <c r="Y39" s="3"/>
      <c r="Z39" s="7">
        <f t="shared" si="11"/>
        <v>-0.31832453268090011</v>
      </c>
    </row>
    <row r="40" spans="1:26" s="69" customFormat="1" ht="15" hidden="1" customHeight="1" outlineLevel="2" x14ac:dyDescent="0.3">
      <c r="A40" s="26"/>
      <c r="B40" s="12" t="str">
        <f>CONCATENATE("          ","6119"," - ","SICK LEAVE")</f>
        <v xml:space="preserve">          6119 - SICK LEAVE</v>
      </c>
      <c r="C40" s="12"/>
      <c r="D40" s="8">
        <v>411.06</v>
      </c>
      <c r="E40" s="3"/>
      <c r="F40" s="7">
        <f t="shared" si="4"/>
        <v>1.7003846610461504E-2</v>
      </c>
      <c r="G40" s="3"/>
      <c r="H40" s="8">
        <v>738.5</v>
      </c>
      <c r="I40" s="3"/>
      <c r="J40" s="7">
        <f t="shared" si="5"/>
        <v>0.16626105123812135</v>
      </c>
      <c r="K40" s="3"/>
      <c r="L40" s="8">
        <f t="shared" si="6"/>
        <v>-327.44</v>
      </c>
      <c r="M40" s="3"/>
      <c r="N40" s="7">
        <f t="shared" si="7"/>
        <v>-0.443385240352065</v>
      </c>
      <c r="O40" s="12"/>
      <c r="P40" s="8">
        <v>5375.72</v>
      </c>
      <c r="Q40" s="3"/>
      <c r="R40" s="7">
        <f t="shared" si="8"/>
        <v>3.671539131179534E-2</v>
      </c>
      <c r="S40" s="3"/>
      <c r="T40" s="8">
        <v>6171.27</v>
      </c>
      <c r="U40" s="3"/>
      <c r="V40" s="7">
        <f t="shared" si="9"/>
        <v>5.6696202953787959E-2</v>
      </c>
      <c r="W40" s="3"/>
      <c r="X40" s="8">
        <f t="shared" si="10"/>
        <v>-795.55000000000018</v>
      </c>
      <c r="Y40" s="3"/>
      <c r="Z40" s="7">
        <f t="shared" si="11"/>
        <v>-0.12891187713388008</v>
      </c>
    </row>
    <row r="41" spans="1:26" s="69" customFormat="1" ht="15" hidden="1" customHeight="1" outlineLevel="2" x14ac:dyDescent="0.3">
      <c r="A41" s="26"/>
      <c r="B41" s="12" t="str">
        <f>CONCATENATE("          ","6156"," - ","EMPLOYEE MEALS")</f>
        <v xml:space="preserve">          6156 - EMPLOYEE MEALS</v>
      </c>
      <c r="C41" s="12"/>
      <c r="D41" s="8">
        <v>489.08</v>
      </c>
      <c r="E41" s="3"/>
      <c r="F41" s="7">
        <f t="shared" si="4"/>
        <v>2.0231210286197909E-2</v>
      </c>
      <c r="G41" s="3"/>
      <c r="H41" s="8">
        <v>240.94</v>
      </c>
      <c r="I41" s="3"/>
      <c r="J41" s="7">
        <f t="shared" si="5"/>
        <v>5.4243652925271439E-2</v>
      </c>
      <c r="K41" s="3"/>
      <c r="L41" s="8">
        <f t="shared" si="6"/>
        <v>248.14</v>
      </c>
      <c r="M41" s="3"/>
      <c r="N41" s="7">
        <f t="shared" si="7"/>
        <v>1.0298829584128828</v>
      </c>
      <c r="O41" s="12"/>
      <c r="P41" s="8">
        <v>3470.07</v>
      </c>
      <c r="Q41" s="3"/>
      <c r="R41" s="7">
        <f t="shared" si="8"/>
        <v>2.3700076999791962E-2</v>
      </c>
      <c r="S41" s="3"/>
      <c r="T41" s="8">
        <v>2547.73</v>
      </c>
      <c r="U41" s="3"/>
      <c r="V41" s="7">
        <f t="shared" si="9"/>
        <v>2.3406303265203789E-2</v>
      </c>
      <c r="W41" s="3"/>
      <c r="X41" s="8">
        <f t="shared" si="10"/>
        <v>922.34000000000015</v>
      </c>
      <c r="Y41" s="3"/>
      <c r="Z41" s="7">
        <f t="shared" si="11"/>
        <v>0.36202423333712763</v>
      </c>
    </row>
    <row r="42" spans="1:26" s="68" customFormat="1" ht="15" customHeight="1" outlineLevel="1" collapsed="1" x14ac:dyDescent="0.3">
      <c r="A42" s="25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12026.04</v>
      </c>
      <c r="E42" s="2"/>
      <c r="F42" s="6">
        <f t="shared" si="4"/>
        <v>0.49746737578765748</v>
      </c>
      <c r="G42" s="2"/>
      <c r="H42" s="2">
        <f>SUM(OSRRefH22_1x_0)</f>
        <v>15744.67</v>
      </c>
      <c r="I42" s="2"/>
      <c r="J42" s="6">
        <f t="shared" si="5"/>
        <v>3.5446518423795697</v>
      </c>
      <c r="K42" s="2"/>
      <c r="L42" s="2">
        <f t="shared" si="6"/>
        <v>-3718.6299999999992</v>
      </c>
      <c r="M42" s="2"/>
      <c r="N42" s="6">
        <f t="shared" si="7"/>
        <v>-0.23618341953181612</v>
      </c>
      <c r="O42" s="14"/>
      <c r="P42" s="2">
        <f>SUM(OSRRefP22_1x_0)</f>
        <v>113199.14000000001</v>
      </c>
      <c r="Q42" s="2"/>
      <c r="R42" s="6">
        <f t="shared" si="8"/>
        <v>0.77313377952324602</v>
      </c>
      <c r="S42" s="2"/>
      <c r="T42" s="2">
        <f>SUM(OSRRefT22_1x_0)</f>
        <v>123848.24</v>
      </c>
      <c r="U42" s="2"/>
      <c r="V42" s="6">
        <f t="shared" si="9"/>
        <v>1.1378087412330753</v>
      </c>
      <c r="W42" s="2"/>
      <c r="X42" s="2">
        <f t="shared" si="10"/>
        <v>-10649.099999999991</v>
      </c>
      <c r="Y42" s="2"/>
      <c r="Z42" s="6">
        <f t="shared" si="11"/>
        <v>-8.5985073344602966E-2</v>
      </c>
    </row>
    <row r="43" spans="1:26" s="69" customFormat="1" ht="15" hidden="1" customHeight="1" outlineLevel="2" x14ac:dyDescent="0.3">
      <c r="A43" s="26"/>
      <c r="B43" s="12" t="str">
        <f>CONCATENATE("          ","6002"," - ","STAFF SALARIES")</f>
        <v xml:space="preserve">          6002 - STAFF SALARIES</v>
      </c>
      <c r="C43" s="12"/>
      <c r="D43" s="8">
        <v>8912.0400000000009</v>
      </c>
      <c r="E43" s="3"/>
      <c r="F43" s="7">
        <f t="shared" si="4"/>
        <v>0.36865411654332059</v>
      </c>
      <c r="G43" s="3"/>
      <c r="H43" s="8">
        <v>15262.95</v>
      </c>
      <c r="I43" s="3"/>
      <c r="J43" s="7">
        <f t="shared" si="5"/>
        <v>3.4362005578806829</v>
      </c>
      <c r="K43" s="3"/>
      <c r="L43" s="8">
        <f t="shared" si="6"/>
        <v>-6350.91</v>
      </c>
      <c r="M43" s="3"/>
      <c r="N43" s="7">
        <f t="shared" si="7"/>
        <v>-0.41609977101412238</v>
      </c>
      <c r="O43" s="12"/>
      <c r="P43" s="8">
        <v>93081.85</v>
      </c>
      <c r="Q43" s="3"/>
      <c r="R43" s="7">
        <f t="shared" si="8"/>
        <v>0.63573559388804424</v>
      </c>
      <c r="S43" s="3"/>
      <c r="T43" s="8">
        <v>118009.38</v>
      </c>
      <c r="U43" s="3"/>
      <c r="V43" s="7">
        <f t="shared" si="9"/>
        <v>1.0841664291030348</v>
      </c>
      <c r="W43" s="3"/>
      <c r="X43" s="8">
        <f t="shared" si="10"/>
        <v>-24927.53</v>
      </c>
      <c r="Y43" s="3"/>
      <c r="Z43" s="7">
        <f t="shared" si="11"/>
        <v>-0.21123346296709633</v>
      </c>
    </row>
    <row r="44" spans="1:26" s="69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/>
      <c r="E44" s="3"/>
      <c r="F44" s="7">
        <f t="shared" si="4"/>
        <v>0</v>
      </c>
      <c r="G44" s="3"/>
      <c r="H44" s="8"/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383.25</v>
      </c>
      <c r="U44" s="3"/>
      <c r="V44" s="7">
        <f t="shared" si="9"/>
        <v>3.5209640450084398E-3</v>
      </c>
      <c r="W44" s="3"/>
      <c r="X44" s="8">
        <f t="shared" si="10"/>
        <v>-383.25</v>
      </c>
      <c r="Y44" s="3"/>
      <c r="Z44" s="7">
        <f t="shared" si="11"/>
        <v>-1</v>
      </c>
    </row>
    <row r="45" spans="1:26" s="69" customFormat="1" ht="15" hidden="1" customHeight="1" outlineLevel="2" x14ac:dyDescent="0.3">
      <c r="A45" s="26"/>
      <c r="B45" s="12" t="str">
        <f>CONCATENATE("          ","6007"," - ","STUDENT HOURLY")</f>
        <v xml:space="preserve">          6007 - STUDENT HOURLY</v>
      </c>
      <c r="C45" s="12"/>
      <c r="D45" s="8">
        <v>3114</v>
      </c>
      <c r="E45" s="3"/>
      <c r="F45" s="7">
        <f t="shared" si="4"/>
        <v>0.1288132592443369</v>
      </c>
      <c r="G45" s="3"/>
      <c r="H45" s="8">
        <v>481.72</v>
      </c>
      <c r="I45" s="3"/>
      <c r="J45" s="7">
        <f t="shared" si="5"/>
        <v>0.10845128449888669</v>
      </c>
      <c r="K45" s="3"/>
      <c r="L45" s="8">
        <f t="shared" si="6"/>
        <v>2632.2799999999997</v>
      </c>
      <c r="M45" s="3"/>
      <c r="N45" s="7">
        <f t="shared" si="7"/>
        <v>5.4643361288715431</v>
      </c>
      <c r="O45" s="12"/>
      <c r="P45" s="8">
        <v>20117.29</v>
      </c>
      <c r="Q45" s="3"/>
      <c r="R45" s="7">
        <f t="shared" si="8"/>
        <v>0.13739818563520184</v>
      </c>
      <c r="S45" s="3"/>
      <c r="T45" s="8">
        <v>5455.61</v>
      </c>
      <c r="U45" s="3"/>
      <c r="V45" s="7">
        <f t="shared" si="9"/>
        <v>5.0121348085031943E-2</v>
      </c>
      <c r="W45" s="3"/>
      <c r="X45" s="8">
        <f t="shared" si="10"/>
        <v>14661.68</v>
      </c>
      <c r="Y45" s="3"/>
      <c r="Z45" s="7">
        <f t="shared" si="11"/>
        <v>2.6874501659759407</v>
      </c>
    </row>
    <row r="46" spans="1:26" s="68" customFormat="1" ht="15" customHeight="1" outlineLevel="1" collapsed="1" x14ac:dyDescent="0.3">
      <c r="A46" s="25"/>
      <c r="B46" s="14" t="str">
        <f>CONCATENATE("     ","Advertising/Promo                                 ")</f>
        <v xml:space="preserve">     Advertising/Promo                                 </v>
      </c>
      <c r="C46" s="14"/>
      <c r="D46" s="2">
        <f>SUM(OSRRefD22_2x_0)</f>
        <v>10</v>
      </c>
      <c r="E46" s="2"/>
      <c r="F46" s="6">
        <f t="shared" si="4"/>
        <v>4.1365850752837796E-4</v>
      </c>
      <c r="G46" s="2"/>
      <c r="H46" s="2">
        <f>SUM(OSRRefH22_2x_0)</f>
        <v>0</v>
      </c>
      <c r="I46" s="2"/>
      <c r="J46" s="6">
        <f t="shared" si="5"/>
        <v>0</v>
      </c>
      <c r="K46" s="2"/>
      <c r="L46" s="2">
        <f t="shared" si="6"/>
        <v>10</v>
      </c>
      <c r="M46" s="2"/>
      <c r="N46" s="6">
        <f t="shared" si="7"/>
        <v>0</v>
      </c>
      <c r="O46" s="14"/>
      <c r="P46" s="2">
        <f>SUM(OSRRefP22_2x_0)</f>
        <v>151.85</v>
      </c>
      <c r="Q46" s="2"/>
      <c r="R46" s="6">
        <f t="shared" si="8"/>
        <v>1.037113571892904E-3</v>
      </c>
      <c r="S46" s="2"/>
      <c r="T46" s="2">
        <f>SUM(OSRRefT22_2x_0)</f>
        <v>0</v>
      </c>
      <c r="U46" s="2"/>
      <c r="V46" s="6">
        <f t="shared" si="9"/>
        <v>0</v>
      </c>
      <c r="W46" s="2"/>
      <c r="X46" s="2">
        <f t="shared" si="10"/>
        <v>151.85</v>
      </c>
      <c r="Y46" s="2"/>
      <c r="Z46" s="6">
        <f t="shared" si="11"/>
        <v>0</v>
      </c>
    </row>
    <row r="47" spans="1:26" s="69" customFormat="1" ht="15" hidden="1" customHeight="1" outlineLevel="2" x14ac:dyDescent="0.3">
      <c r="A47" s="26"/>
      <c r="B47" s="12" t="str">
        <f>CONCATENATE("          ","6362"," - ","ADVERTISING EXPENSE")</f>
        <v xml:space="preserve">          6362 - ADVERTISING EXPENSE</v>
      </c>
      <c r="C47" s="12"/>
      <c r="D47" s="8">
        <v>10</v>
      </c>
      <c r="E47" s="3"/>
      <c r="F47" s="7">
        <f t="shared" si="4"/>
        <v>4.1365850752837796E-4</v>
      </c>
      <c r="G47" s="3"/>
      <c r="H47" s="8"/>
      <c r="I47" s="3"/>
      <c r="J47" s="7">
        <f t="shared" si="5"/>
        <v>0</v>
      </c>
      <c r="K47" s="3"/>
      <c r="L47" s="8">
        <f t="shared" si="6"/>
        <v>10</v>
      </c>
      <c r="M47" s="3"/>
      <c r="N47" s="7">
        <f t="shared" si="7"/>
        <v>0</v>
      </c>
      <c r="O47" s="12"/>
      <c r="P47" s="8">
        <v>151.85</v>
      </c>
      <c r="Q47" s="3"/>
      <c r="R47" s="7">
        <f t="shared" si="8"/>
        <v>1.037113571892904E-3</v>
      </c>
      <c r="S47" s="3"/>
      <c r="T47" s="8"/>
      <c r="U47" s="3"/>
      <c r="V47" s="7">
        <f t="shared" si="9"/>
        <v>0</v>
      </c>
      <c r="W47" s="3"/>
      <c r="X47" s="8">
        <f t="shared" si="10"/>
        <v>151.85</v>
      </c>
      <c r="Y47" s="3"/>
      <c r="Z47" s="7">
        <f t="shared" si="11"/>
        <v>0</v>
      </c>
    </row>
    <row r="48" spans="1:26" s="68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SUM(OSRRefD22_3x_0)</f>
        <v>169.88</v>
      </c>
      <c r="E48" s="2"/>
      <c r="F48" s="6">
        <f t="shared" si="4"/>
        <v>7.0272307258920849E-3</v>
      </c>
      <c r="G48" s="2"/>
      <c r="H48" s="2">
        <f>SUM(OSRRefH22_3x_0)</f>
        <v>169.88</v>
      </c>
      <c r="I48" s="2"/>
      <c r="J48" s="6">
        <f t="shared" si="5"/>
        <v>3.8245670120964192E-2</v>
      </c>
      <c r="K48" s="2"/>
      <c r="L48" s="2">
        <f t="shared" si="6"/>
        <v>0</v>
      </c>
      <c r="M48" s="2"/>
      <c r="N48" s="6">
        <f t="shared" si="7"/>
        <v>0</v>
      </c>
      <c r="O48" s="14"/>
      <c r="P48" s="2">
        <f>SUM(OSRRefP22_3x_0)</f>
        <v>1359.04</v>
      </c>
      <c r="Q48" s="2"/>
      <c r="R48" s="6">
        <f t="shared" si="8"/>
        <v>9.2820469459686025E-3</v>
      </c>
      <c r="S48" s="2"/>
      <c r="T48" s="2">
        <f>SUM(OSRRefT22_3x_0)</f>
        <v>1359.04</v>
      </c>
      <c r="U48" s="2"/>
      <c r="V48" s="6">
        <f t="shared" si="9"/>
        <v>1.248566464638818E-2</v>
      </c>
      <c r="W48" s="2"/>
      <c r="X48" s="2">
        <f t="shared" si="10"/>
        <v>0</v>
      </c>
      <c r="Y48" s="2"/>
      <c r="Z48" s="6">
        <f t="shared" si="11"/>
        <v>0</v>
      </c>
    </row>
    <row r="49" spans="1:26" s="69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169.88</v>
      </c>
      <c r="E49" s="3"/>
      <c r="F49" s="7">
        <f t="shared" si="4"/>
        <v>7.0272307258920849E-3</v>
      </c>
      <c r="G49" s="3"/>
      <c r="H49" s="8">
        <v>169.88</v>
      </c>
      <c r="I49" s="3"/>
      <c r="J49" s="7">
        <f t="shared" si="5"/>
        <v>3.8245670120964192E-2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>
        <v>1359.04</v>
      </c>
      <c r="Q49" s="3"/>
      <c r="R49" s="7">
        <f t="shared" si="8"/>
        <v>9.2820469459686025E-3</v>
      </c>
      <c r="S49" s="3"/>
      <c r="T49" s="8">
        <v>1359.04</v>
      </c>
      <c r="U49" s="3"/>
      <c r="V49" s="7">
        <f t="shared" si="9"/>
        <v>1.248566464638818E-2</v>
      </c>
      <c r="W49" s="3"/>
      <c r="X49" s="8">
        <f t="shared" si="10"/>
        <v>0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5"/>
      <c r="B50" s="14" t="str">
        <f>CONCATENATE("     ","Discounts and Markdowns                           ")</f>
        <v xml:space="preserve">     Discounts and Markdowns                           </v>
      </c>
      <c r="C50" s="14"/>
      <c r="D50" s="2">
        <f>SUM(OSRRefD22_4x_0)</f>
        <v>0</v>
      </c>
      <c r="E50" s="2"/>
      <c r="F50" s="6">
        <f t="shared" si="4"/>
        <v>0</v>
      </c>
      <c r="G50" s="2"/>
      <c r="H50" s="2">
        <f>SUM(OSRRefH22_4x_0)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SUM(OSRRefP22_4x_0)</f>
        <v>0</v>
      </c>
      <c r="Q50" s="2"/>
      <c r="R50" s="6">
        <f t="shared" si="8"/>
        <v>0</v>
      </c>
      <c r="S50" s="2"/>
      <c r="T50" s="2">
        <f>SUM(OSRRefT22_4x_0)</f>
        <v>0</v>
      </c>
      <c r="U50" s="2"/>
      <c r="V50" s="6">
        <f t="shared" si="9"/>
        <v>0</v>
      </c>
      <c r="W50" s="2"/>
      <c r="X50" s="2">
        <f t="shared" si="10"/>
        <v>0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6"/>
      <c r="B51" s="12" t="str">
        <f>CONCATENATE("          ","6382"," - ","DISCOUNTS/MARK DOWNS")</f>
        <v xml:space="preserve">          6382 - DISCOUNTS/MARK DOWNS</v>
      </c>
      <c r="C51" s="12"/>
      <c r="D51" s="8"/>
      <c r="E51" s="3"/>
      <c r="F51" s="7">
        <f t="shared" si="4"/>
        <v>0</v>
      </c>
      <c r="G51" s="3"/>
      <c r="H51" s="8"/>
      <c r="I51" s="3"/>
      <c r="J51" s="7">
        <f t="shared" si="5"/>
        <v>0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/>
      <c r="Q51" s="3"/>
      <c r="R51" s="7">
        <f t="shared" si="8"/>
        <v>0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0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5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SUM(OSRRefD22_5x_0)</f>
        <v>1205.6400000000001</v>
      </c>
      <c r="E52" s="2"/>
      <c r="F52" s="6">
        <f t="shared" si="4"/>
        <v>4.9872324301651366E-2</v>
      </c>
      <c r="G52" s="2"/>
      <c r="H52" s="2">
        <f>SUM(OSRRefH22_5x_0)</f>
        <v>1205.6400000000001</v>
      </c>
      <c r="I52" s="2"/>
      <c r="J52" s="6">
        <f t="shared" si="5"/>
        <v>0.27142989006733736</v>
      </c>
      <c r="K52" s="2"/>
      <c r="L52" s="2">
        <f t="shared" si="6"/>
        <v>0</v>
      </c>
      <c r="M52" s="2"/>
      <c r="N52" s="6">
        <f t="shared" si="7"/>
        <v>0</v>
      </c>
      <c r="O52" s="14"/>
      <c r="P52" s="2">
        <f>SUM(OSRRefP22_5x_0)</f>
        <v>9736.3799999999992</v>
      </c>
      <c r="Q52" s="2"/>
      <c r="R52" s="6">
        <f t="shared" si="8"/>
        <v>6.6498069404719334E-2</v>
      </c>
      <c r="S52" s="2"/>
      <c r="T52" s="2">
        <f>SUM(OSRRefT22_5x_0)</f>
        <v>9645.1200000000008</v>
      </c>
      <c r="U52" s="2"/>
      <c r="V52" s="6">
        <f t="shared" si="9"/>
        <v>8.8610882530441762E-2</v>
      </c>
      <c r="W52" s="2"/>
      <c r="X52" s="2">
        <f t="shared" si="10"/>
        <v>91.259999999998399</v>
      </c>
      <c r="Y52" s="2"/>
      <c r="Z52" s="6">
        <f t="shared" si="11"/>
        <v>9.4617796357119865E-3</v>
      </c>
    </row>
    <row r="53" spans="1:26" s="69" customFormat="1" ht="15" hidden="1" customHeight="1" outlineLevel="2" x14ac:dyDescent="0.3">
      <c r="A53" s="26"/>
      <c r="B53" s="12" t="str">
        <f>CONCATENATE("          ","6351"," - ","EQUIPMENT RENTAL")</f>
        <v xml:space="preserve">          6351 - EQUIPMENT RENTAL</v>
      </c>
      <c r="C53" s="12"/>
      <c r="D53" s="8">
        <v>1205.6400000000001</v>
      </c>
      <c r="E53" s="3"/>
      <c r="F53" s="7">
        <f t="shared" si="4"/>
        <v>4.9872324301651366E-2</v>
      </c>
      <c r="G53" s="3"/>
      <c r="H53" s="8">
        <v>1205.6400000000001</v>
      </c>
      <c r="I53" s="3"/>
      <c r="J53" s="7">
        <f t="shared" si="5"/>
        <v>0.27142989006733736</v>
      </c>
      <c r="K53" s="3"/>
      <c r="L53" s="8">
        <f t="shared" si="6"/>
        <v>0</v>
      </c>
      <c r="M53" s="3"/>
      <c r="N53" s="7">
        <f t="shared" si="7"/>
        <v>0</v>
      </c>
      <c r="O53" s="12"/>
      <c r="P53" s="8">
        <v>9736.3799999999992</v>
      </c>
      <c r="Q53" s="3"/>
      <c r="R53" s="7">
        <f t="shared" si="8"/>
        <v>6.6498069404719334E-2</v>
      </c>
      <c r="S53" s="3"/>
      <c r="T53" s="8">
        <v>9645.1200000000008</v>
      </c>
      <c r="U53" s="3"/>
      <c r="V53" s="7">
        <f t="shared" si="9"/>
        <v>8.8610882530441762E-2</v>
      </c>
      <c r="W53" s="3"/>
      <c r="X53" s="8">
        <f t="shared" si="10"/>
        <v>91.259999999998399</v>
      </c>
      <c r="Y53" s="3"/>
      <c r="Z53" s="7">
        <f t="shared" si="11"/>
        <v>9.4617796357119865E-3</v>
      </c>
    </row>
    <row r="54" spans="1:26" s="68" customFormat="1" ht="15" customHeight="1" outlineLevel="1" collapsed="1" x14ac:dyDescent="0.3">
      <c r="A54" s="25"/>
      <c r="B54" s="14" t="str">
        <f>CONCATENATE("     ","Freight out/Postage                               ")</f>
        <v xml:space="preserve">     Freight out/Postage                               </v>
      </c>
      <c r="C54" s="14"/>
      <c r="D54" s="2">
        <f>SUM(OSRRefD22_6x_0)</f>
        <v>-7076.82</v>
      </c>
      <c r="E54" s="2"/>
      <c r="F54" s="6">
        <f t="shared" si="4"/>
        <v>-0.29273867992469754</v>
      </c>
      <c r="G54" s="2"/>
      <c r="H54" s="2">
        <f>SUM(OSRRefH22_6x_0)</f>
        <v>2803.1499999999978</v>
      </c>
      <c r="I54" s="2"/>
      <c r="J54" s="6">
        <f t="shared" si="5"/>
        <v>0.63108282434412932</v>
      </c>
      <c r="K54" s="2"/>
      <c r="L54" s="2">
        <f t="shared" si="6"/>
        <v>-9879.9699999999975</v>
      </c>
      <c r="M54" s="2"/>
      <c r="N54" s="6">
        <f t="shared" si="7"/>
        <v>-3.5245955442983803</v>
      </c>
      <c r="O54" s="14"/>
      <c r="P54" s="2">
        <f>SUM(OSRRefP22_6x_0)</f>
        <v>-64363.05</v>
      </c>
      <c r="Q54" s="2"/>
      <c r="R54" s="6">
        <f t="shared" si="8"/>
        <v>-0.43959033706566725</v>
      </c>
      <c r="S54" s="2"/>
      <c r="T54" s="2">
        <f>SUM(OSRRefT22_6x_0)</f>
        <v>-45422.41</v>
      </c>
      <c r="U54" s="2"/>
      <c r="V54" s="6">
        <f t="shared" si="9"/>
        <v>-0.41730116750849788</v>
      </c>
      <c r="W54" s="2"/>
      <c r="X54" s="2">
        <f t="shared" si="10"/>
        <v>-18940.64</v>
      </c>
      <c r="Y54" s="2"/>
      <c r="Z54" s="6">
        <f t="shared" si="11"/>
        <v>0.41698888280036217</v>
      </c>
    </row>
    <row r="55" spans="1:26" s="69" customFormat="1" ht="15" hidden="1" customHeight="1" outlineLevel="2" x14ac:dyDescent="0.3">
      <c r="A55" s="26"/>
      <c r="B55" s="12" t="str">
        <f>CONCATENATE("          ","6305"," - ","FREIGHT OUT")</f>
        <v xml:space="preserve">          6305 - FREIGHT OUT</v>
      </c>
      <c r="C55" s="12"/>
      <c r="D55" s="8">
        <v>7594.99</v>
      </c>
      <c r="E55" s="3"/>
      <c r="F55" s="7">
        <f t="shared" si="4"/>
        <v>0.31417322280929555</v>
      </c>
      <c r="G55" s="3"/>
      <c r="H55" s="8">
        <v>24817.48</v>
      </c>
      <c r="I55" s="3"/>
      <c r="J55" s="7">
        <f t="shared" si="5"/>
        <v>5.5872448393785401</v>
      </c>
      <c r="K55" s="3"/>
      <c r="L55" s="8">
        <f t="shared" si="6"/>
        <v>-17222.489999999998</v>
      </c>
      <c r="M55" s="3"/>
      <c r="N55" s="7">
        <f t="shared" si="7"/>
        <v>-0.69396610775953071</v>
      </c>
      <c r="O55" s="12"/>
      <c r="P55" s="8">
        <v>95215.99</v>
      </c>
      <c r="Q55" s="3"/>
      <c r="R55" s="7">
        <f t="shared" si="8"/>
        <v>0.6503114619046364</v>
      </c>
      <c r="S55" s="3"/>
      <c r="T55" s="8">
        <v>150896.71</v>
      </c>
      <c r="U55" s="3"/>
      <c r="V55" s="7">
        <f t="shared" si="9"/>
        <v>1.3863063024659241</v>
      </c>
      <c r="W55" s="3"/>
      <c r="X55" s="8">
        <f t="shared" si="10"/>
        <v>-55680.719999999987</v>
      </c>
      <c r="Y55" s="3"/>
      <c r="Z55" s="7">
        <f t="shared" si="11"/>
        <v>-0.36899889997601665</v>
      </c>
    </row>
    <row r="56" spans="1:26" s="69" customFormat="1" ht="15" hidden="1" customHeight="1" outlineLevel="2" x14ac:dyDescent="0.3">
      <c r="A56" s="26"/>
      <c r="B56" s="12" t="str">
        <f>CONCATENATE("          ","6307"," - ","POSTAGE")</f>
        <v xml:space="preserve">          6307 - POSTAGE</v>
      </c>
      <c r="C56" s="12"/>
      <c r="D56" s="8">
        <v>-14671.81</v>
      </c>
      <c r="E56" s="3"/>
      <c r="F56" s="7">
        <f t="shared" si="4"/>
        <v>-0.60691190273399309</v>
      </c>
      <c r="G56" s="3"/>
      <c r="H56" s="8">
        <v>-22014.33</v>
      </c>
      <c r="I56" s="3"/>
      <c r="J56" s="7">
        <f t="shared" si="5"/>
        <v>-4.956162015034411</v>
      </c>
      <c r="K56" s="3"/>
      <c r="L56" s="8">
        <f t="shared" si="6"/>
        <v>7342.5200000000023</v>
      </c>
      <c r="M56" s="3"/>
      <c r="N56" s="7">
        <f t="shared" si="7"/>
        <v>-0.3335336573949787</v>
      </c>
      <c r="O56" s="12"/>
      <c r="P56" s="8">
        <v>-159579.04</v>
      </c>
      <c r="Q56" s="3"/>
      <c r="R56" s="7">
        <f t="shared" si="8"/>
        <v>-1.0899017989703037</v>
      </c>
      <c r="S56" s="3"/>
      <c r="T56" s="8">
        <v>-196319.12</v>
      </c>
      <c r="U56" s="3"/>
      <c r="V56" s="7">
        <f t="shared" si="9"/>
        <v>-1.803607469974422</v>
      </c>
      <c r="W56" s="3"/>
      <c r="X56" s="8">
        <f t="shared" si="10"/>
        <v>36740.079999999987</v>
      </c>
      <c r="Y56" s="3"/>
      <c r="Z56" s="7">
        <f t="shared" si="11"/>
        <v>-0.18714468565262513</v>
      </c>
    </row>
    <row r="57" spans="1:26" s="68" customFormat="1" ht="15" customHeight="1" outlineLevel="1" collapsed="1" x14ac:dyDescent="0.3">
      <c r="A57" s="25"/>
      <c r="B57" s="14" t="str">
        <f>CONCATENATE("     ","General                                           ")</f>
        <v xml:space="preserve">     General                                           </v>
      </c>
      <c r="C57" s="14"/>
      <c r="D57" s="2">
        <f>SUM(OSRRefD22_7x_0)</f>
        <v>0</v>
      </c>
      <c r="E57" s="2"/>
      <c r="F57" s="6">
        <f t="shared" si="4"/>
        <v>0</v>
      </c>
      <c r="G57" s="2"/>
      <c r="H57" s="2">
        <f>SUM(OSRRefH22_7x_0)</f>
        <v>0</v>
      </c>
      <c r="I57" s="2"/>
      <c r="J57" s="6">
        <f t="shared" si="5"/>
        <v>0</v>
      </c>
      <c r="K57" s="2"/>
      <c r="L57" s="2">
        <f t="shared" si="6"/>
        <v>0</v>
      </c>
      <c r="M57" s="2"/>
      <c r="N57" s="6">
        <f t="shared" si="7"/>
        <v>0</v>
      </c>
      <c r="O57" s="14"/>
      <c r="P57" s="2">
        <f>SUM(OSRRefP22_7x_0)</f>
        <v>91.31</v>
      </c>
      <c r="Q57" s="2"/>
      <c r="R57" s="6">
        <f t="shared" si="8"/>
        <v>6.236341142544686E-4</v>
      </c>
      <c r="S57" s="2"/>
      <c r="T57" s="2">
        <f>SUM(OSRRefT22_7x_0)</f>
        <v>0</v>
      </c>
      <c r="U57" s="2"/>
      <c r="V57" s="6">
        <f t="shared" si="9"/>
        <v>0</v>
      </c>
      <c r="W57" s="2"/>
      <c r="X57" s="2">
        <f t="shared" si="10"/>
        <v>91.31</v>
      </c>
      <c r="Y57" s="2"/>
      <c r="Z57" s="6">
        <f t="shared" si="11"/>
        <v>0</v>
      </c>
    </row>
    <row r="58" spans="1:26" s="69" customFormat="1" ht="15" hidden="1" customHeight="1" outlineLevel="2" x14ac:dyDescent="0.3">
      <c r="A58" s="26"/>
      <c r="B58" s="12" t="str">
        <f>CONCATENATE("          ","6279"," - ","GENERAL EXPENSE")</f>
        <v xml:space="preserve">          6279 - GENERAL EXPENSE</v>
      </c>
      <c r="C58" s="12"/>
      <c r="D58" s="8"/>
      <c r="E58" s="3"/>
      <c r="F58" s="7">
        <f t="shared" si="4"/>
        <v>0</v>
      </c>
      <c r="G58" s="3"/>
      <c r="H58" s="8"/>
      <c r="I58" s="3"/>
      <c r="J58" s="7">
        <f t="shared" si="5"/>
        <v>0</v>
      </c>
      <c r="K58" s="3"/>
      <c r="L58" s="8">
        <f t="shared" si="6"/>
        <v>0</v>
      </c>
      <c r="M58" s="3"/>
      <c r="N58" s="7">
        <f t="shared" si="7"/>
        <v>0</v>
      </c>
      <c r="O58" s="12"/>
      <c r="P58" s="8">
        <v>91.31</v>
      </c>
      <c r="Q58" s="3"/>
      <c r="R58" s="7">
        <f t="shared" si="8"/>
        <v>6.236341142544686E-4</v>
      </c>
      <c r="S58" s="3"/>
      <c r="T58" s="8"/>
      <c r="U58" s="3"/>
      <c r="V58" s="7">
        <f t="shared" si="9"/>
        <v>0</v>
      </c>
      <c r="W58" s="3"/>
      <c r="X58" s="8">
        <f t="shared" si="10"/>
        <v>91.31</v>
      </c>
      <c r="Y58" s="3"/>
      <c r="Z58" s="7">
        <f t="shared" si="11"/>
        <v>0</v>
      </c>
    </row>
    <row r="59" spans="1:26" s="68" customFormat="1" ht="15" customHeight="1" outlineLevel="1" collapsed="1" x14ac:dyDescent="0.3">
      <c r="A59" s="25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SUM(OSRRefD22_8x_0)</f>
        <v>2632.59</v>
      </c>
      <c r="E59" s="2"/>
      <c r="F59" s="6">
        <f t="shared" si="4"/>
        <v>0.10889932503341326</v>
      </c>
      <c r="G59" s="2"/>
      <c r="H59" s="2">
        <f>SUM(OSRRefH22_8x_0)</f>
        <v>472.97</v>
      </c>
      <c r="I59" s="2"/>
      <c r="J59" s="6">
        <f t="shared" si="5"/>
        <v>0.10648136683018856</v>
      </c>
      <c r="K59" s="2"/>
      <c r="L59" s="2">
        <f t="shared" si="6"/>
        <v>2159.62</v>
      </c>
      <c r="M59" s="2"/>
      <c r="N59" s="6">
        <f t="shared" si="7"/>
        <v>4.566082415375182</v>
      </c>
      <c r="O59" s="14"/>
      <c r="P59" s="2">
        <f>SUM(OSRRefP22_8x_0)</f>
        <v>23371.42</v>
      </c>
      <c r="Q59" s="2"/>
      <c r="R59" s="6">
        <f t="shared" si="8"/>
        <v>0.15962342361810505</v>
      </c>
      <c r="S59" s="2"/>
      <c r="T59" s="2">
        <f>SUM(OSRRefT22_8x_0)</f>
        <v>30905.559999999998</v>
      </c>
      <c r="U59" s="2"/>
      <c r="V59" s="6">
        <f t="shared" si="9"/>
        <v>0.28393311298330343</v>
      </c>
      <c r="W59" s="2"/>
      <c r="X59" s="2">
        <f t="shared" si="10"/>
        <v>-7534.1399999999994</v>
      </c>
      <c r="Y59" s="2"/>
      <c r="Z59" s="6">
        <f t="shared" si="11"/>
        <v>-0.24377943645091693</v>
      </c>
    </row>
    <row r="60" spans="1:26" s="69" customFormat="1" ht="15" hidden="1" customHeight="1" outlineLevel="2" x14ac:dyDescent="0.3">
      <c r="A60" s="26"/>
      <c r="B60" s="12" t="str">
        <f>CONCATENATE("          ","6371"," - ","COMPUTER SOFTWARE MAINTENANCE")</f>
        <v xml:space="preserve">          6371 - COMPUTER SOFTWARE MAINTENANCE</v>
      </c>
      <c r="C60" s="12"/>
      <c r="D60" s="8"/>
      <c r="E60" s="3"/>
      <c r="F60" s="7">
        <f t="shared" si="4"/>
        <v>0</v>
      </c>
      <c r="G60" s="3"/>
      <c r="H60" s="8"/>
      <c r="I60" s="3"/>
      <c r="J60" s="7">
        <f t="shared" si="5"/>
        <v>0</v>
      </c>
      <c r="K60" s="3"/>
      <c r="L60" s="8">
        <f t="shared" si="6"/>
        <v>0</v>
      </c>
      <c r="M60" s="3"/>
      <c r="N60" s="7">
        <f t="shared" si="7"/>
        <v>0</v>
      </c>
      <c r="O60" s="12"/>
      <c r="P60" s="8"/>
      <c r="Q60" s="3"/>
      <c r="R60" s="7">
        <f t="shared" si="8"/>
        <v>0</v>
      </c>
      <c r="S60" s="3"/>
      <c r="T60" s="8">
        <v>7.69</v>
      </c>
      <c r="U60" s="3"/>
      <c r="V60" s="7">
        <f t="shared" si="9"/>
        <v>7.0648958920064981E-5</v>
      </c>
      <c r="W60" s="3"/>
      <c r="X60" s="8">
        <f t="shared" si="10"/>
        <v>-7.69</v>
      </c>
      <c r="Y60" s="3"/>
      <c r="Z60" s="7">
        <f t="shared" si="11"/>
        <v>-1</v>
      </c>
    </row>
    <row r="61" spans="1:26" s="69" customFormat="1" ht="15" hidden="1" customHeight="1" outlineLevel="2" x14ac:dyDescent="0.3">
      <c r="A61" s="26"/>
      <c r="B61" s="12" t="str">
        <f>CONCATENATE("          ","6373"," - ","MAINTENANCE CONTRACTS")</f>
        <v xml:space="preserve">          6373 - MAINTENANCE CONTRACTS</v>
      </c>
      <c r="C61" s="12"/>
      <c r="D61" s="8">
        <v>749.09</v>
      </c>
      <c r="E61" s="3"/>
      <c r="F61" s="7">
        <f t="shared" si="4"/>
        <v>3.0986745140443268E-2</v>
      </c>
      <c r="G61" s="3"/>
      <c r="H61" s="8">
        <v>472.97</v>
      </c>
      <c r="I61" s="3"/>
      <c r="J61" s="7">
        <f t="shared" si="5"/>
        <v>0.10648136683018856</v>
      </c>
      <c r="K61" s="3"/>
      <c r="L61" s="8">
        <f t="shared" si="6"/>
        <v>276.12</v>
      </c>
      <c r="M61" s="3"/>
      <c r="N61" s="7">
        <f t="shared" si="7"/>
        <v>0.58380024103008643</v>
      </c>
      <c r="O61" s="12"/>
      <c r="P61" s="8">
        <v>7513.27</v>
      </c>
      <c r="Q61" s="3"/>
      <c r="R61" s="7">
        <f t="shared" si="8"/>
        <v>5.1314549135961798E-2</v>
      </c>
      <c r="S61" s="3"/>
      <c r="T61" s="8">
        <v>30897.87</v>
      </c>
      <c r="U61" s="3"/>
      <c r="V61" s="7">
        <f t="shared" si="9"/>
        <v>0.28386246402438337</v>
      </c>
      <c r="W61" s="3"/>
      <c r="X61" s="8">
        <f t="shared" si="10"/>
        <v>-23384.6</v>
      </c>
      <c r="Y61" s="3"/>
      <c r="Z61" s="7">
        <f t="shared" si="11"/>
        <v>-0.75683534172420297</v>
      </c>
    </row>
    <row r="62" spans="1:26" s="69" customFormat="1" ht="15" hidden="1" customHeight="1" outlineLevel="2" x14ac:dyDescent="0.3">
      <c r="A62" s="26"/>
      <c r="B62" s="12" t="str">
        <f>CONCATENATE("          ","6375"," - ","OUTSIDE REPAIRS &amp; MAINTENANCE")</f>
        <v xml:space="preserve">          6375 - OUTSIDE REPAIRS &amp; MAINTENANCE</v>
      </c>
      <c r="C62" s="12"/>
      <c r="D62" s="8">
        <v>1883.5</v>
      </c>
      <c r="E62" s="3"/>
      <c r="F62" s="7">
        <f t="shared" si="4"/>
        <v>7.7912579892969985E-2</v>
      </c>
      <c r="G62" s="3"/>
      <c r="H62" s="8"/>
      <c r="I62" s="3"/>
      <c r="J62" s="7">
        <f t="shared" si="5"/>
        <v>0</v>
      </c>
      <c r="K62" s="3"/>
      <c r="L62" s="8">
        <f t="shared" si="6"/>
        <v>1883.5</v>
      </c>
      <c r="M62" s="3"/>
      <c r="N62" s="7">
        <f t="shared" si="7"/>
        <v>0</v>
      </c>
      <c r="O62" s="12"/>
      <c r="P62" s="8">
        <v>15858.15</v>
      </c>
      <c r="Q62" s="3"/>
      <c r="R62" s="7">
        <f t="shared" si="8"/>
        <v>0.10830887448214327</v>
      </c>
      <c r="S62" s="3"/>
      <c r="T62" s="8"/>
      <c r="U62" s="3"/>
      <c r="V62" s="7">
        <f t="shared" si="9"/>
        <v>0</v>
      </c>
      <c r="W62" s="3"/>
      <c r="X62" s="8">
        <f t="shared" si="10"/>
        <v>15858.15</v>
      </c>
      <c r="Y62" s="3"/>
      <c r="Z62" s="7">
        <f t="shared" si="11"/>
        <v>0</v>
      </c>
    </row>
    <row r="63" spans="1:26" s="68" customFormat="1" ht="15" customHeight="1" outlineLevel="1" collapsed="1" x14ac:dyDescent="0.3">
      <c r="A63" s="25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2">
        <f>SUM(OSRRefD22_9x_0)</f>
        <v>1634.9</v>
      </c>
      <c r="E63" s="2"/>
      <c r="F63" s="6">
        <f t="shared" si="4"/>
        <v>6.7629029395814513E-2</v>
      </c>
      <c r="G63" s="2"/>
      <c r="H63" s="2">
        <f>SUM(OSRRefH22_9x_0)</f>
        <v>468.34</v>
      </c>
      <c r="I63" s="2"/>
      <c r="J63" s="6">
        <f t="shared" si="5"/>
        <v>0.10543899896663744</v>
      </c>
      <c r="K63" s="2"/>
      <c r="L63" s="2">
        <f t="shared" si="6"/>
        <v>1166.5600000000002</v>
      </c>
      <c r="M63" s="2"/>
      <c r="N63" s="6">
        <f t="shared" si="7"/>
        <v>2.4908399880428753</v>
      </c>
      <c r="O63" s="14"/>
      <c r="P63" s="2">
        <f>SUM(OSRRefP22_9x_0)</f>
        <v>7503.48</v>
      </c>
      <c r="Q63" s="2"/>
      <c r="R63" s="6">
        <f t="shared" si="8"/>
        <v>5.1247684849700145E-2</v>
      </c>
      <c r="S63" s="2"/>
      <c r="T63" s="2">
        <f>SUM(OSRRefT22_9x_0)</f>
        <v>10636.41</v>
      </c>
      <c r="U63" s="2"/>
      <c r="V63" s="6">
        <f t="shared" si="9"/>
        <v>9.7717983504157127E-2</v>
      </c>
      <c r="W63" s="2"/>
      <c r="X63" s="2">
        <f t="shared" si="10"/>
        <v>-3132.9300000000003</v>
      </c>
      <c r="Y63" s="2"/>
      <c r="Z63" s="6">
        <f t="shared" si="11"/>
        <v>-0.29454769043314427</v>
      </c>
    </row>
    <row r="64" spans="1:26" s="69" customFormat="1" ht="15" hidden="1" customHeight="1" outlineLevel="2" x14ac:dyDescent="0.3">
      <c r="A64" s="26"/>
      <c r="B64" s="12" t="str">
        <f>CONCATENATE("          ","6259"," - ","ROYALTY &amp; COMMISSIONS")</f>
        <v xml:space="preserve">          6259 - ROYALTY &amp; COMMISSIONS</v>
      </c>
      <c r="C64" s="12"/>
      <c r="D64" s="8">
        <v>1634.9</v>
      </c>
      <c r="E64" s="3"/>
      <c r="F64" s="7">
        <f t="shared" si="4"/>
        <v>6.7629029395814513E-2</v>
      </c>
      <c r="G64" s="3"/>
      <c r="H64" s="8">
        <v>468.34</v>
      </c>
      <c r="I64" s="3"/>
      <c r="J64" s="7">
        <f t="shared" si="5"/>
        <v>0.10543899896663744</v>
      </c>
      <c r="K64" s="3"/>
      <c r="L64" s="8">
        <f t="shared" si="6"/>
        <v>1166.5600000000002</v>
      </c>
      <c r="M64" s="3"/>
      <c r="N64" s="7">
        <f t="shared" si="7"/>
        <v>2.4908399880428753</v>
      </c>
      <c r="O64" s="12"/>
      <c r="P64" s="8">
        <v>7503.48</v>
      </c>
      <c r="Q64" s="3"/>
      <c r="R64" s="7">
        <f t="shared" si="8"/>
        <v>5.1247684849700145E-2</v>
      </c>
      <c r="S64" s="3"/>
      <c r="T64" s="8">
        <v>10636.41</v>
      </c>
      <c r="U64" s="3"/>
      <c r="V64" s="7">
        <f t="shared" si="9"/>
        <v>9.7717983504157127E-2</v>
      </c>
      <c r="W64" s="3"/>
      <c r="X64" s="8">
        <f t="shared" si="10"/>
        <v>-3132.9300000000003</v>
      </c>
      <c r="Y64" s="3"/>
      <c r="Z64" s="7">
        <f t="shared" si="11"/>
        <v>-0.29454769043314427</v>
      </c>
    </row>
    <row r="65" spans="1:26" s="68" customFormat="1" ht="15" customHeight="1" outlineLevel="1" collapsed="1" x14ac:dyDescent="0.3">
      <c r="A65" s="25"/>
      <c r="B65" s="14" t="str">
        <f>CONCATENATE("     ","Supplies                                          ")</f>
        <v xml:space="preserve">     Supplies                                          </v>
      </c>
      <c r="C65" s="14"/>
      <c r="D65" s="2">
        <f>SUM(OSRRefD22_10x_0)</f>
        <v>5674.86</v>
      </c>
      <c r="E65" s="2"/>
      <c r="F65" s="6">
        <f t="shared" si="4"/>
        <v>0.23474541180324909</v>
      </c>
      <c r="G65" s="2"/>
      <c r="H65" s="2">
        <f>SUM(OSRRefH22_10x_0)</f>
        <v>-2156.8399999999997</v>
      </c>
      <c r="I65" s="2"/>
      <c r="J65" s="6">
        <f t="shared" si="5"/>
        <v>-0.48557682566341176</v>
      </c>
      <c r="K65" s="2"/>
      <c r="L65" s="2">
        <f t="shared" si="6"/>
        <v>7831.6999999999989</v>
      </c>
      <c r="M65" s="2"/>
      <c r="N65" s="6">
        <f t="shared" si="7"/>
        <v>-3.6310992006824798</v>
      </c>
      <c r="O65" s="14"/>
      <c r="P65" s="2">
        <f>SUM(OSRRefP22_10x_0)</f>
        <v>28292.78</v>
      </c>
      <c r="Q65" s="2"/>
      <c r="R65" s="6">
        <f t="shared" si="8"/>
        <v>0.19323560174237811</v>
      </c>
      <c r="S65" s="2"/>
      <c r="T65" s="2">
        <f>SUM(OSRRefT22_10x_0)</f>
        <v>29928.16</v>
      </c>
      <c r="U65" s="2"/>
      <c r="V65" s="6">
        <f t="shared" si="9"/>
        <v>0.27495362111744237</v>
      </c>
      <c r="W65" s="2"/>
      <c r="X65" s="2">
        <f t="shared" si="10"/>
        <v>-1635.380000000001</v>
      </c>
      <c r="Y65" s="2"/>
      <c r="Z65" s="6">
        <f t="shared" si="11"/>
        <v>-5.4643519681798043E-2</v>
      </c>
    </row>
    <row r="66" spans="1:26" s="69" customFormat="1" ht="15" hidden="1" customHeight="1" outlineLevel="2" x14ac:dyDescent="0.3">
      <c r="A66" s="26"/>
      <c r="B66" s="12" t="str">
        <f>CONCATENATE("          ","6235"," - ","COVID-19 EXPENSES")</f>
        <v xml:space="preserve">          6235 - COVID-19 EXPENSES</v>
      </c>
      <c r="C66" s="12"/>
      <c r="D66" s="8"/>
      <c r="E66" s="3"/>
      <c r="F66" s="7">
        <f t="shared" si="4"/>
        <v>0</v>
      </c>
      <c r="G66" s="3"/>
      <c r="H66" s="8"/>
      <c r="I66" s="3"/>
      <c r="J66" s="7">
        <f t="shared" si="5"/>
        <v>0</v>
      </c>
      <c r="K66" s="3"/>
      <c r="L66" s="8">
        <f t="shared" si="6"/>
        <v>0</v>
      </c>
      <c r="M66" s="3"/>
      <c r="N66" s="7">
        <f t="shared" si="7"/>
        <v>0</v>
      </c>
      <c r="O66" s="12"/>
      <c r="P66" s="8"/>
      <c r="Q66" s="3"/>
      <c r="R66" s="7">
        <f t="shared" si="8"/>
        <v>0</v>
      </c>
      <c r="S66" s="3"/>
      <c r="T66" s="8">
        <v>310.91000000000003</v>
      </c>
      <c r="U66" s="3"/>
      <c r="V66" s="7">
        <f t="shared" si="9"/>
        <v>2.8563677266368534E-3</v>
      </c>
      <c r="W66" s="3"/>
      <c r="X66" s="8">
        <f t="shared" si="10"/>
        <v>-310.91000000000003</v>
      </c>
      <c r="Y66" s="3"/>
      <c r="Z66" s="7">
        <f t="shared" si="11"/>
        <v>-1</v>
      </c>
    </row>
    <row r="67" spans="1:26" s="69" customFormat="1" ht="15" hidden="1" customHeight="1" outlineLevel="2" x14ac:dyDescent="0.3">
      <c r="A67" s="26"/>
      <c r="B67" s="12" t="str">
        <f>CONCATENATE("          ","6241"," - ","OFFICE EXPENSE")</f>
        <v xml:space="preserve">          6241 - OFFICE EXPENSE</v>
      </c>
      <c r="C67" s="12"/>
      <c r="D67" s="8">
        <v>3295.15</v>
      </c>
      <c r="E67" s="3"/>
      <c r="F67" s="7">
        <f t="shared" si="4"/>
        <v>0.13630668310821348</v>
      </c>
      <c r="G67" s="3"/>
      <c r="H67" s="8">
        <v>7.71</v>
      </c>
      <c r="I67" s="3"/>
      <c r="J67" s="7">
        <f t="shared" si="5"/>
        <v>1.735778882932858E-3</v>
      </c>
      <c r="K67" s="3"/>
      <c r="L67" s="8">
        <f t="shared" si="6"/>
        <v>3287.44</v>
      </c>
      <c r="M67" s="3"/>
      <c r="N67" s="7">
        <f t="shared" si="7"/>
        <v>426.38651102464331</v>
      </c>
      <c r="O67" s="12"/>
      <c r="P67" s="8">
        <v>8157.46</v>
      </c>
      <c r="Q67" s="3"/>
      <c r="R67" s="7">
        <f t="shared" si="8"/>
        <v>5.5714273810823105E-2</v>
      </c>
      <c r="S67" s="3"/>
      <c r="T67" s="8">
        <v>4604.57</v>
      </c>
      <c r="U67" s="3"/>
      <c r="V67" s="7">
        <f t="shared" si="9"/>
        <v>4.2302740802934141E-2</v>
      </c>
      <c r="W67" s="3"/>
      <c r="X67" s="8">
        <f t="shared" si="10"/>
        <v>3552.8900000000003</v>
      </c>
      <c r="Y67" s="3"/>
      <c r="Z67" s="7">
        <f t="shared" si="11"/>
        <v>0.77160082266096519</v>
      </c>
    </row>
    <row r="68" spans="1:26" s="69" customFormat="1" ht="15" hidden="1" customHeight="1" outlineLevel="2" x14ac:dyDescent="0.3">
      <c r="A68" s="26"/>
      <c r="B68" s="12" t="str">
        <f>CONCATENATE("          ","6243"," - ","PAPER SUPPLIES")</f>
        <v xml:space="preserve">          6243 - PAPER SUPPLIES</v>
      </c>
      <c r="C68" s="12"/>
      <c r="D68" s="8">
        <v>1072.69</v>
      </c>
      <c r="E68" s="3"/>
      <c r="F68" s="7">
        <f t="shared" si="4"/>
        <v>4.4372734444061576E-2</v>
      </c>
      <c r="G68" s="3"/>
      <c r="H68" s="8"/>
      <c r="I68" s="3"/>
      <c r="J68" s="7">
        <f t="shared" si="5"/>
        <v>0</v>
      </c>
      <c r="K68" s="3"/>
      <c r="L68" s="8">
        <f t="shared" si="6"/>
        <v>1072.69</v>
      </c>
      <c r="M68" s="3"/>
      <c r="N68" s="7">
        <f t="shared" si="7"/>
        <v>0</v>
      </c>
      <c r="O68" s="12"/>
      <c r="P68" s="8">
        <v>5621.93</v>
      </c>
      <c r="Q68" s="3"/>
      <c r="R68" s="7">
        <f t="shared" si="8"/>
        <v>3.8396970057503282E-2</v>
      </c>
      <c r="S68" s="3"/>
      <c r="T68" s="8">
        <v>6173.4</v>
      </c>
      <c r="U68" s="3"/>
      <c r="V68" s="7">
        <f t="shared" si="9"/>
        <v>5.6715771521083105E-2</v>
      </c>
      <c r="W68" s="3"/>
      <c r="X68" s="8">
        <f t="shared" si="10"/>
        <v>-551.46999999999935</v>
      </c>
      <c r="Y68" s="3"/>
      <c r="Z68" s="7">
        <f t="shared" si="11"/>
        <v>-8.9330028833381828E-2</v>
      </c>
    </row>
    <row r="69" spans="1:26" s="69" customFormat="1" ht="15" hidden="1" customHeight="1" outlineLevel="2" x14ac:dyDescent="0.3">
      <c r="A69" s="26"/>
      <c r="B69" s="12" t="str">
        <f>CONCATENATE("          ","6245"," - ","PRINTING")</f>
        <v xml:space="preserve">          6245 - PRINTING</v>
      </c>
      <c r="C69" s="12"/>
      <c r="D69" s="8">
        <v>502.78</v>
      </c>
      <c r="E69" s="3"/>
      <c r="F69" s="7">
        <f t="shared" si="4"/>
        <v>2.0797922441511785E-2</v>
      </c>
      <c r="G69" s="3"/>
      <c r="H69" s="8">
        <v>398.67</v>
      </c>
      <c r="I69" s="3"/>
      <c r="J69" s="7">
        <f t="shared" si="5"/>
        <v>8.9753951654843386E-2</v>
      </c>
      <c r="K69" s="3"/>
      <c r="L69" s="8">
        <f t="shared" si="6"/>
        <v>104.10999999999996</v>
      </c>
      <c r="M69" s="3"/>
      <c r="N69" s="7">
        <f t="shared" si="7"/>
        <v>0.26114330147741227</v>
      </c>
      <c r="O69" s="12"/>
      <c r="P69" s="8">
        <v>1661.33</v>
      </c>
      <c r="Q69" s="3"/>
      <c r="R69" s="7">
        <f t="shared" si="8"/>
        <v>1.134664399336739E-2</v>
      </c>
      <c r="S69" s="3"/>
      <c r="T69" s="8">
        <v>838.28</v>
      </c>
      <c r="U69" s="3"/>
      <c r="V69" s="7">
        <f t="shared" si="9"/>
        <v>7.7013796207427918E-3</v>
      </c>
      <c r="W69" s="3"/>
      <c r="X69" s="8">
        <f t="shared" si="10"/>
        <v>823.05</v>
      </c>
      <c r="Y69" s="3"/>
      <c r="Z69" s="7">
        <f t="shared" si="11"/>
        <v>0.98183184616118713</v>
      </c>
    </row>
    <row r="70" spans="1:26" s="69" customFormat="1" ht="15" hidden="1" customHeight="1" outlineLevel="2" x14ac:dyDescent="0.3">
      <c r="A70" s="26"/>
      <c r="B70" s="12" t="str">
        <f>CONCATENATE("          ","6247"," - ","STORE SUPPLIES")</f>
        <v xml:space="preserve">          6247 - STORE SUPPLIES</v>
      </c>
      <c r="C70" s="12"/>
      <c r="D70" s="8">
        <v>804.24</v>
      </c>
      <c r="E70" s="3"/>
      <c r="F70" s="7">
        <f t="shared" si="4"/>
        <v>3.3268071809462271E-2</v>
      </c>
      <c r="G70" s="3"/>
      <c r="H70" s="8">
        <v>-2563.2199999999998</v>
      </c>
      <c r="I70" s="3"/>
      <c r="J70" s="7">
        <f t="shared" si="5"/>
        <v>-0.57706655620118807</v>
      </c>
      <c r="K70" s="3"/>
      <c r="L70" s="8">
        <f t="shared" si="6"/>
        <v>3367.46</v>
      </c>
      <c r="M70" s="3"/>
      <c r="N70" s="7">
        <f t="shared" si="7"/>
        <v>-1.3137615967415985</v>
      </c>
      <c r="O70" s="12"/>
      <c r="P70" s="8">
        <v>12852.06</v>
      </c>
      <c r="Q70" s="3"/>
      <c r="R70" s="7">
        <f t="shared" si="8"/>
        <v>8.7777713880684324E-2</v>
      </c>
      <c r="S70" s="3"/>
      <c r="T70" s="8">
        <v>18001</v>
      </c>
      <c r="U70" s="3"/>
      <c r="V70" s="7">
        <f t="shared" si="9"/>
        <v>0.16537736144604548</v>
      </c>
      <c r="W70" s="3"/>
      <c r="X70" s="8">
        <f t="shared" si="10"/>
        <v>-5148.9400000000005</v>
      </c>
      <c r="Y70" s="3"/>
      <c r="Z70" s="7">
        <f t="shared" si="11"/>
        <v>-0.28603633131492695</v>
      </c>
    </row>
    <row r="71" spans="1:26" s="68" customFormat="1" ht="15" customHeight="1" outlineLevel="1" collapsed="1" x14ac:dyDescent="0.3">
      <c r="A71" s="25"/>
      <c r="B71" s="14" t="str">
        <f>CONCATENATE("     ","Telephone/Data Lines                              ")</f>
        <v xml:space="preserve">     Telephone/Data Lines                              </v>
      </c>
      <c r="C71" s="14"/>
      <c r="D71" s="2">
        <f>SUM(OSRRefD22_11x_0)</f>
        <v>143.55000000000001</v>
      </c>
      <c r="E71" s="2"/>
      <c r="F71" s="6">
        <f t="shared" si="4"/>
        <v>5.9380678755698657E-3</v>
      </c>
      <c r="G71" s="2"/>
      <c r="H71" s="2">
        <f>SUM(OSRRefH22_11x_0)</f>
        <v>82.1</v>
      </c>
      <c r="I71" s="2"/>
      <c r="J71" s="6">
        <f t="shared" si="5"/>
        <v>1.8483456068584647E-2</v>
      </c>
      <c r="K71" s="2"/>
      <c r="L71" s="2">
        <f t="shared" si="6"/>
        <v>61.450000000000017</v>
      </c>
      <c r="M71" s="2"/>
      <c r="N71" s="6">
        <f t="shared" si="7"/>
        <v>0.74847746650426339</v>
      </c>
      <c r="O71" s="14"/>
      <c r="P71" s="2">
        <f>SUM(OSRRefP22_11x_0)</f>
        <v>884.4</v>
      </c>
      <c r="Q71" s="2"/>
      <c r="R71" s="6">
        <f t="shared" si="8"/>
        <v>6.0403242870074696E-3</v>
      </c>
      <c r="S71" s="2"/>
      <c r="T71" s="2">
        <f>SUM(OSRRefT22_11x_0)</f>
        <v>1421.3</v>
      </c>
      <c r="U71" s="2"/>
      <c r="V71" s="6">
        <f t="shared" si="9"/>
        <v>1.3057654787137626E-2</v>
      </c>
      <c r="W71" s="2"/>
      <c r="X71" s="2">
        <f t="shared" si="10"/>
        <v>-536.9</v>
      </c>
      <c r="Y71" s="2"/>
      <c r="Z71" s="6">
        <f t="shared" si="11"/>
        <v>-0.37775276155632165</v>
      </c>
    </row>
    <row r="72" spans="1:26" s="69" customFormat="1" ht="15" hidden="1" customHeight="1" outlineLevel="2" x14ac:dyDescent="0.3">
      <c r="A72" s="26"/>
      <c r="B72" s="12" t="str">
        <f>CONCATENATE("          ","6309"," - ","TELEPHONE")</f>
        <v xml:space="preserve">          6309 - TELEPHONE</v>
      </c>
      <c r="C72" s="12"/>
      <c r="D72" s="8">
        <v>143.55000000000001</v>
      </c>
      <c r="E72" s="3"/>
      <c r="F72" s="7">
        <f t="shared" si="4"/>
        <v>5.9380678755698657E-3</v>
      </c>
      <c r="G72" s="3"/>
      <c r="H72" s="8">
        <v>82.1</v>
      </c>
      <c r="I72" s="3"/>
      <c r="J72" s="7">
        <f t="shared" si="5"/>
        <v>1.8483456068584647E-2</v>
      </c>
      <c r="K72" s="3"/>
      <c r="L72" s="8">
        <f t="shared" si="6"/>
        <v>61.450000000000017</v>
      </c>
      <c r="M72" s="3"/>
      <c r="N72" s="7">
        <f t="shared" si="7"/>
        <v>0.74847746650426339</v>
      </c>
      <c r="O72" s="12"/>
      <c r="P72" s="8">
        <v>884.4</v>
      </c>
      <c r="Q72" s="3"/>
      <c r="R72" s="7">
        <f t="shared" si="8"/>
        <v>6.0403242870074696E-3</v>
      </c>
      <c r="S72" s="3"/>
      <c r="T72" s="8">
        <v>1421.3</v>
      </c>
      <c r="U72" s="3"/>
      <c r="V72" s="7">
        <f t="shared" si="9"/>
        <v>1.3057654787137626E-2</v>
      </c>
      <c r="W72" s="3"/>
      <c r="X72" s="8">
        <f t="shared" si="10"/>
        <v>-536.9</v>
      </c>
      <c r="Y72" s="3"/>
      <c r="Z72" s="7">
        <f t="shared" si="11"/>
        <v>-0.37775276155632165</v>
      </c>
    </row>
    <row r="73" spans="1:26" s="68" customFormat="1" ht="15" customHeight="1" outlineLevel="1" collapsed="1" x14ac:dyDescent="0.3">
      <c r="A73" s="25"/>
      <c r="B73" s="14" t="str">
        <f>CONCATENATE("     ","Utilities                                         ")</f>
        <v xml:space="preserve">     Utilities                                         </v>
      </c>
      <c r="C73" s="14"/>
      <c r="D73" s="2">
        <f>SUM(OSRRefD22_12x_0)</f>
        <v>0</v>
      </c>
      <c r="E73" s="2"/>
      <c r="F73" s="6">
        <f t="shared" si="4"/>
        <v>0</v>
      </c>
      <c r="G73" s="2"/>
      <c r="H73" s="2">
        <f>SUM(OSRRefH22_12x_0)</f>
        <v>0</v>
      </c>
      <c r="I73" s="2"/>
      <c r="J73" s="6">
        <f t="shared" si="5"/>
        <v>0</v>
      </c>
      <c r="K73" s="2"/>
      <c r="L73" s="2">
        <f t="shared" si="6"/>
        <v>0</v>
      </c>
      <c r="M73" s="2"/>
      <c r="N73" s="6">
        <f t="shared" si="7"/>
        <v>0</v>
      </c>
      <c r="O73" s="14"/>
      <c r="P73" s="2">
        <f>SUM(OSRRefP22_12x_0)</f>
        <v>0</v>
      </c>
      <c r="Q73" s="2"/>
      <c r="R73" s="6">
        <f t="shared" si="8"/>
        <v>0</v>
      </c>
      <c r="S73" s="2"/>
      <c r="T73" s="2">
        <f>SUM(OSRRefT22_12x_0)</f>
        <v>15.02</v>
      </c>
      <c r="U73" s="2"/>
      <c r="V73" s="6">
        <f t="shared" si="9"/>
        <v>1.3799055435362496E-4</v>
      </c>
      <c r="W73" s="2"/>
      <c r="X73" s="2">
        <f t="shared" si="10"/>
        <v>-15.02</v>
      </c>
      <c r="Y73" s="2"/>
      <c r="Z73" s="6">
        <f t="shared" si="11"/>
        <v>-1</v>
      </c>
    </row>
    <row r="74" spans="1:26" s="69" customFormat="1" ht="15" hidden="1" customHeight="1" outlineLevel="2" x14ac:dyDescent="0.3">
      <c r="A74" s="26"/>
      <c r="B74" s="12" t="str">
        <f>CONCATENATE("          ","6274"," - ","UTILITIES")</f>
        <v xml:space="preserve">          6274 - UTILITIES</v>
      </c>
      <c r="C74" s="12"/>
      <c r="D74" s="8"/>
      <c r="E74" s="3"/>
      <c r="F74" s="7">
        <f t="shared" si="4"/>
        <v>0</v>
      </c>
      <c r="G74" s="3"/>
      <c r="H74" s="8"/>
      <c r="I74" s="3"/>
      <c r="J74" s="7">
        <f t="shared" si="5"/>
        <v>0</v>
      </c>
      <c r="K74" s="3"/>
      <c r="L74" s="8">
        <f t="shared" si="6"/>
        <v>0</v>
      </c>
      <c r="M74" s="3"/>
      <c r="N74" s="7">
        <f t="shared" si="7"/>
        <v>0</v>
      </c>
      <c r="O74" s="12"/>
      <c r="P74" s="8"/>
      <c r="Q74" s="3"/>
      <c r="R74" s="7">
        <f t="shared" si="8"/>
        <v>0</v>
      </c>
      <c r="S74" s="3"/>
      <c r="T74" s="8">
        <v>15.02</v>
      </c>
      <c r="U74" s="3"/>
      <c r="V74" s="7">
        <f t="shared" si="9"/>
        <v>1.3799055435362496E-4</v>
      </c>
      <c r="W74" s="3"/>
      <c r="X74" s="8">
        <f t="shared" si="10"/>
        <v>-15.02</v>
      </c>
      <c r="Y74" s="3"/>
      <c r="Z74" s="7">
        <f t="shared" si="11"/>
        <v>-1</v>
      </c>
    </row>
    <row r="75" spans="1:26" s="64" customFormat="1" ht="15" customHeight="1" x14ac:dyDescent="0.3">
      <c r="A75" s="36"/>
      <c r="B75" s="36"/>
      <c r="C75" s="36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2" customFormat="1" ht="15" customHeight="1" collapsed="1" x14ac:dyDescent="0.3">
      <c r="A76" s="11"/>
      <c r="B76" s="27" t="s">
        <v>290</v>
      </c>
      <c r="C76" s="11"/>
      <c r="D76" s="5">
        <f>SUM(OSRRefD25x_0)</f>
        <v>0</v>
      </c>
      <c r="E76" s="5"/>
      <c r="F76" s="13">
        <f>IF(D$12=0,0,D76/D$12)</f>
        <v>0</v>
      </c>
      <c r="G76" s="5"/>
      <c r="H76" s="5">
        <f>SUM(OSRRefH25x_0)</f>
        <v>6782</v>
      </c>
      <c r="I76" s="5"/>
      <c r="J76" s="13">
        <f>IF(H$12=0,0,H76/H$12)</f>
        <v>1.5268550433269317</v>
      </c>
      <c r="K76" s="5"/>
      <c r="L76" s="5">
        <f>+D76-H76</f>
        <v>-6782</v>
      </c>
      <c r="M76" s="5"/>
      <c r="N76" s="13">
        <f>IF(H76=0,0,L76/H76)</f>
        <v>-1</v>
      </c>
      <c r="O76" s="11"/>
      <c r="P76" s="5">
        <f>SUM(OSRRefP25x_0)</f>
        <v>15135.44</v>
      </c>
      <c r="Q76" s="5"/>
      <c r="R76" s="13">
        <f>IF(P$12=0,0,P76/P$12)</f>
        <v>0.10337286954607004</v>
      </c>
      <c r="S76" s="5"/>
      <c r="T76" s="5">
        <f>SUM(OSRRefT25x_0)</f>
        <v>54256</v>
      </c>
      <c r="U76" s="5"/>
      <c r="V76" s="13">
        <f>IF(T$12=0,0,T76/T$12)</f>
        <v>0.49845642589948574</v>
      </c>
      <c r="W76" s="5"/>
      <c r="X76" s="5">
        <f>+P76-T76</f>
        <v>-39120.559999999998</v>
      </c>
      <c r="Y76" s="5"/>
      <c r="Z76" s="13">
        <f>IF(T76=0,0,X76/T76)</f>
        <v>-0.72103656738425237</v>
      </c>
    </row>
    <row r="77" spans="1:26" s="69" customFormat="1" ht="15" hidden="1" customHeight="1" outlineLevel="1" x14ac:dyDescent="0.3">
      <c r="A77" s="42"/>
      <c r="B77" s="12" t="str">
        <f>CONCATENATE("          ","9150"," - ","MISC. INCOME")</f>
        <v xml:space="preserve">          9150 - MISC. INCOME</v>
      </c>
      <c r="C77" s="12"/>
      <c r="D77" s="3">
        <f>0</f>
        <v>0</v>
      </c>
      <c r="E77" s="3"/>
      <c r="F77" s="20">
        <f>IF(D$12=0,0,D77/D$12)</f>
        <v>0</v>
      </c>
      <c r="G77" s="3"/>
      <c r="H77" s="3">
        <f>--6782</f>
        <v>6782</v>
      </c>
      <c r="I77" s="3"/>
      <c r="J77" s="20">
        <f>IF(H$12=0,0,H77/H$12)</f>
        <v>1.5268550433269317</v>
      </c>
      <c r="K77" s="3"/>
      <c r="L77" s="3">
        <f>+D77-H77</f>
        <v>-6782</v>
      </c>
      <c r="M77" s="3"/>
      <c r="N77" s="20">
        <f>IF(H77=0,0,L77/H77)</f>
        <v>-1</v>
      </c>
      <c r="O77" s="12"/>
      <c r="P77" s="3">
        <f>--15135.44</f>
        <v>15135.44</v>
      </c>
      <c r="Q77" s="3"/>
      <c r="R77" s="20">
        <f>IF(P$12=0,0,P77/P$12)</f>
        <v>0.10337286954607004</v>
      </c>
      <c r="S77" s="3"/>
      <c r="T77" s="3">
        <f>--54256</f>
        <v>54256</v>
      </c>
      <c r="U77" s="3"/>
      <c r="V77" s="20">
        <f>IF(T$12=0,0,T77/T$12)</f>
        <v>0.49845642589948574</v>
      </c>
      <c r="W77" s="3"/>
      <c r="X77" s="3">
        <f>+P77-T77</f>
        <v>-39120.559999999998</v>
      </c>
      <c r="Y77" s="3"/>
      <c r="Z77" s="20">
        <f>IF(T77=0,0,X77/T77)</f>
        <v>-0.72103656738425237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11"/>
      <c r="B79" s="28" t="s">
        <v>291</v>
      </c>
      <c r="C79" s="28"/>
      <c r="D79" s="23">
        <f>+D30-D32+D76</f>
        <v>3238.2300000000032</v>
      </c>
      <c r="E79" s="15"/>
      <c r="F79" s="22">
        <f>IF(D$12=0,0,D79/D$12)</f>
        <v>0.13395213888336208</v>
      </c>
      <c r="G79" s="15"/>
      <c r="H79" s="23">
        <f>+H30-H32+H76</f>
        <v>-16368.849999999991</v>
      </c>
      <c r="I79" s="15"/>
      <c r="J79" s="22">
        <f>IF(H$12=0,0,H79/H$12)</f>
        <v>-3.6851756378593379</v>
      </c>
      <c r="K79" s="17"/>
      <c r="L79" s="23">
        <f>+D79-H79</f>
        <v>19607.079999999994</v>
      </c>
      <c r="M79" s="17"/>
      <c r="N79" s="22">
        <f>IF(H79=0,0,L79/H79)</f>
        <v>-1.1978288028786388</v>
      </c>
      <c r="O79" s="27"/>
      <c r="P79" s="23">
        <f>+P30-P32+P76</f>
        <v>-21442.800000000017</v>
      </c>
      <c r="Q79" s="15"/>
      <c r="R79" s="22">
        <f>IF(P$12=0,0,P79/P$12)</f>
        <v>-0.1464512275231161</v>
      </c>
      <c r="S79" s="15"/>
      <c r="T79" s="23">
        <f>+T30-T32+T76</f>
        <v>-74720.379999999946</v>
      </c>
      <c r="U79" s="15"/>
      <c r="V79" s="22">
        <f>IF(T$12=0,0,T79/T$12)</f>
        <v>-0.68646515697160482</v>
      </c>
      <c r="W79" s="17"/>
      <c r="X79" s="23">
        <f>+P79-T79</f>
        <v>53277.579999999929</v>
      </c>
      <c r="Y79" s="17"/>
      <c r="Z79" s="22">
        <f>IF(T79=0,0,X79/T79)</f>
        <v>-0.71302608471744877</v>
      </c>
    </row>
    <row r="80" spans="1:26" ht="15" customHeight="1" x14ac:dyDescent="0.3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48"/>
      <c r="B81" s="11" t="s">
        <v>292</v>
      </c>
      <c r="C81" s="11"/>
      <c r="D81" s="5">
        <v>2095.2600000000002</v>
      </c>
      <c r="E81" s="5"/>
      <c r="F81" s="13">
        <f>IF(D$12=0,0,D81/D$12)</f>
        <v>8.6672212448390934E-2</v>
      </c>
      <c r="G81" s="5"/>
      <c r="H81" s="5">
        <v>2603.31</v>
      </c>
      <c r="I81" s="5"/>
      <c r="J81" s="13">
        <f>IF(H$12=0,0,H81/H$12)</f>
        <v>0.58609215612554322</v>
      </c>
      <c r="K81" s="5"/>
      <c r="L81" s="5">
        <f>+D81-H81</f>
        <v>-508.04999999999973</v>
      </c>
      <c r="M81" s="5"/>
      <c r="N81" s="13">
        <f>IF(H81=0,0,L81/H81)</f>
        <v>-0.1951553983198312</v>
      </c>
      <c r="O81" s="11"/>
      <c r="P81" s="5">
        <v>18276.04</v>
      </c>
      <c r="Q81" s="5"/>
      <c r="R81" s="13">
        <f>IF(P$12=0,0,P81/P$12)</f>
        <v>0.12482271402342832</v>
      </c>
      <c r="S81" s="5"/>
      <c r="T81" s="5">
        <v>21555.8</v>
      </c>
      <c r="U81" s="5"/>
      <c r="V81" s="13">
        <f>IF(T$12=0,0,T81/T$12)</f>
        <v>0.1980357384511231</v>
      </c>
      <c r="W81" s="5"/>
      <c r="X81" s="5">
        <f>+P81-T81</f>
        <v>-3279.7599999999984</v>
      </c>
      <c r="Y81" s="5"/>
      <c r="Z81" s="13">
        <f>IF(T81=0,0,X81/T81)</f>
        <v>-0.15215208899692884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293</v>
      </c>
      <c r="C83" s="28"/>
      <c r="D83" s="33">
        <f>+D79-D81</f>
        <v>1142.970000000003</v>
      </c>
      <c r="E83" s="15"/>
      <c r="F83" s="34">
        <f>IF(D$12=0,0,D83/D$12)</f>
        <v>4.7279926434971142E-2</v>
      </c>
      <c r="G83" s="15"/>
      <c r="H83" s="33">
        <f>+H79-H81</f>
        <v>-18972.159999999993</v>
      </c>
      <c r="I83" s="15"/>
      <c r="J83" s="34">
        <f>IF(H$12=0,0,H83/H$12)</f>
        <v>-4.2712677939848813</v>
      </c>
      <c r="K83" s="17"/>
      <c r="L83" s="33">
        <f>D83-H83</f>
        <v>20115.129999999997</v>
      </c>
      <c r="M83" s="17"/>
      <c r="N83" s="34">
        <f>IF(H83=0,0,L83/H83)</f>
        <v>-1.0602445899676161</v>
      </c>
      <c r="O83" s="27"/>
      <c r="P83" s="33">
        <f>+P79-P81</f>
        <v>-39718.840000000018</v>
      </c>
      <c r="Q83" s="15"/>
      <c r="R83" s="34">
        <f>IF(P$12=0,0,P83/P$12)</f>
        <v>-0.27127394154654438</v>
      </c>
      <c r="S83" s="15"/>
      <c r="T83" s="33">
        <f>+T79-T81</f>
        <v>-96276.179999999949</v>
      </c>
      <c r="U83" s="15"/>
      <c r="V83" s="34">
        <f>IF(T$12=0,0,T83/T$12)</f>
        <v>-0.88450089542272792</v>
      </c>
      <c r="W83" s="17"/>
      <c r="X83" s="33">
        <f>P83-T83</f>
        <v>56557.339999999931</v>
      </c>
      <c r="Y83" s="17"/>
      <c r="Z83" s="34">
        <f>IF(T83=0,0,X83/T83)</f>
        <v>-0.5874489411607311</v>
      </c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296</v>
      </c>
      <c r="C86" s="28"/>
      <c r="D86" s="35">
        <f>SUM(D83:D85)</f>
        <v>1142.970000000003</v>
      </c>
      <c r="E86" s="15"/>
      <c r="F86" s="29">
        <f>IF(D$12=0,0,D86/D$12)</f>
        <v>4.7279926434971142E-2</v>
      </c>
      <c r="G86" s="15"/>
      <c r="H86" s="35">
        <f>SUM(H83:H85)</f>
        <v>-18972.159999999993</v>
      </c>
      <c r="I86" s="15"/>
      <c r="J86" s="29">
        <f>IF(H$12=0,0,H86/H$12)</f>
        <v>-4.2712677939848813</v>
      </c>
      <c r="K86" s="17"/>
      <c r="L86" s="35">
        <f>+D86-H86</f>
        <v>20115.129999999997</v>
      </c>
      <c r="M86" s="17"/>
      <c r="N86" s="29">
        <f>IF(H86=0,0,L86/H86)</f>
        <v>-1.0602445899676161</v>
      </c>
      <c r="O86" s="27"/>
      <c r="P86" s="35">
        <f>SUM(P83:P85)</f>
        <v>-39718.840000000018</v>
      </c>
      <c r="Q86" s="15"/>
      <c r="R86" s="29">
        <f>IF(P$12=0,0,P86/P$12)</f>
        <v>-0.27127394154654438</v>
      </c>
      <c r="S86" s="15"/>
      <c r="T86" s="35">
        <f>SUM(T83:T85)</f>
        <v>-96276.179999999949</v>
      </c>
      <c r="U86" s="15"/>
      <c r="V86" s="29">
        <f>IF(T$12=0,0,T86/T$12)</f>
        <v>-0.88450089542272792</v>
      </c>
      <c r="W86" s="17"/>
      <c r="X86" s="35">
        <f>+P86-T86</f>
        <v>56557.339999999931</v>
      </c>
      <c r="Y86" s="17"/>
      <c r="Z86" s="29">
        <f>IF(T86=0,0,X86/T86)</f>
        <v>-0.5874489411607311</v>
      </c>
    </row>
    <row r="87" spans="1:26" ht="15" customHeight="1" x14ac:dyDescent="0.3">
      <c r="A87" s="10"/>
      <c r="C87" s="10"/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3">
      <c r="A88" s="10"/>
      <c r="B88" s="50">
        <v>44634.887810300927</v>
      </c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  <row r="89" spans="1:26" ht="15" customHeight="1" x14ac:dyDescent="0.3">
      <c r="A89" s="10"/>
      <c r="B89" s="58" t="s">
        <v>297</v>
      </c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  <row r="90" spans="1:26" ht="15" customHeight="1" x14ac:dyDescent="0.3">
      <c r="A90" s="10"/>
      <c r="B90" s="56"/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3"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0BD9B-510E-4CEA-5AFA-3DB583CF8939}">
  <sheetPr>
    <tabColor rgb="FFFFC000"/>
    <outlinePr summaryBelow="0" summaryRight="0"/>
  </sheetPr>
  <dimension ref="A2:Z10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314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171349.23</v>
      </c>
      <c r="E12" s="5"/>
      <c r="F12" s="13"/>
      <c r="G12" s="5"/>
      <c r="H12" s="5">
        <f>SUM(OSRRefH13x_0)</f>
        <v>185934.87000000002</v>
      </c>
      <c r="I12" s="5"/>
      <c r="J12" s="13"/>
      <c r="K12" s="5"/>
      <c r="L12" s="5">
        <f t="shared" ref="L12:L33" si="0">+D12-H12</f>
        <v>-14585.640000000014</v>
      </c>
      <c r="M12" s="5"/>
      <c r="N12" s="13">
        <f t="shared" ref="N12:N33" si="1">IF(H12=0,0,L12/H12)</f>
        <v>-7.8444887717941295E-2</v>
      </c>
      <c r="O12" s="11"/>
      <c r="P12" s="5">
        <f>SUM(OSRRefP13x_0)</f>
        <v>1293776.3299999998</v>
      </c>
      <c r="Q12" s="5"/>
      <c r="R12" s="13"/>
      <c r="S12" s="5"/>
      <c r="T12" s="5">
        <f>SUM(OSRRefT13x_0)</f>
        <v>1590471.2</v>
      </c>
      <c r="U12" s="5"/>
      <c r="V12" s="13"/>
      <c r="W12" s="5"/>
      <c r="X12" s="5">
        <f t="shared" ref="X12:X33" si="2">+P12-T12</f>
        <v>-296694.87000000011</v>
      </c>
      <c r="Y12" s="5"/>
      <c r="Z12" s="13">
        <f t="shared" ref="Z12:Z33" si="3">IF(T12=0,0,X12/T12)</f>
        <v>-0.18654526407016997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--119951.35</f>
        <v>119951.35</v>
      </c>
      <c r="E13" s="3"/>
      <c r="F13" s="20"/>
      <c r="G13" s="3"/>
      <c r="H13" s="3">
        <f>-49</f>
        <v>-49</v>
      </c>
      <c r="I13" s="3"/>
      <c r="J13" s="20"/>
      <c r="K13" s="3"/>
      <c r="L13" s="3">
        <f t="shared" si="0"/>
        <v>120000.35</v>
      </c>
      <c r="M13" s="3"/>
      <c r="N13" s="20">
        <f t="shared" si="1"/>
        <v>-2448.9867346938777</v>
      </c>
      <c r="O13" s="12"/>
      <c r="P13" s="3">
        <f>--1026610.68</f>
        <v>1026610.68</v>
      </c>
      <c r="Q13" s="3"/>
      <c r="R13" s="20"/>
      <c r="S13" s="3"/>
      <c r="T13" s="3">
        <f>-2696.96</f>
        <v>-2696.96</v>
      </c>
      <c r="U13" s="3"/>
      <c r="V13" s="20"/>
      <c r="W13" s="3"/>
      <c r="X13" s="3">
        <f t="shared" si="2"/>
        <v>1029307.64</v>
      </c>
      <c r="Y13" s="3"/>
      <c r="Z13" s="20">
        <f t="shared" si="3"/>
        <v>-381.65476684859988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--64.79</f>
        <v>64.790000000000006</v>
      </c>
      <c r="I14" s="3"/>
      <c r="J14" s="20"/>
      <c r="K14" s="3"/>
      <c r="L14" s="3">
        <f t="shared" si="0"/>
        <v>-64.790000000000006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--59262.85</f>
        <v>59262.85</v>
      </c>
      <c r="U14" s="3"/>
      <c r="V14" s="20"/>
      <c r="W14" s="3"/>
      <c r="X14" s="3">
        <f t="shared" si="2"/>
        <v>-59262.85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--165815.3</f>
        <v>165815.29999999999</v>
      </c>
      <c r="I15" s="3"/>
      <c r="J15" s="20"/>
      <c r="K15" s="3"/>
      <c r="L15" s="3">
        <f t="shared" si="0"/>
        <v>-165815.29999999999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--1250838.47</f>
        <v>1250838.47</v>
      </c>
      <c r="U15" s="3"/>
      <c r="V15" s="20"/>
      <c r="W15" s="3"/>
      <c r="X15" s="3">
        <f t="shared" si="2"/>
        <v>-1250838.47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--3521.24</f>
        <v>3521.24</v>
      </c>
      <c r="I16" s="3"/>
      <c r="J16" s="20"/>
      <c r="K16" s="3"/>
      <c r="L16" s="3">
        <f t="shared" si="0"/>
        <v>-3521.24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--96798.83</f>
        <v>96798.83</v>
      </c>
      <c r="U16" s="3"/>
      <c r="V16" s="20"/>
      <c r="W16" s="3"/>
      <c r="X16" s="3">
        <f t="shared" si="2"/>
        <v>-96798.83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--2878.93</f>
        <v>2878.93</v>
      </c>
      <c r="U17" s="3"/>
      <c r="V17" s="20"/>
      <c r="W17" s="3"/>
      <c r="X17" s="3">
        <f t="shared" si="2"/>
        <v>-2878.93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--1077.33</f>
        <v>1077.33</v>
      </c>
      <c r="I18" s="3"/>
      <c r="J18" s="20"/>
      <c r="K18" s="3"/>
      <c r="L18" s="3">
        <f t="shared" si="0"/>
        <v>-1077.33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--58947.17</f>
        <v>58947.17</v>
      </c>
      <c r="U18" s="3"/>
      <c r="V18" s="20"/>
      <c r="W18" s="3"/>
      <c r="X18" s="3">
        <f t="shared" si="2"/>
        <v>-58947.17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--77573.66</f>
        <v>77573.66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77573.66</v>
      </c>
      <c r="M19" s="3"/>
      <c r="N19" s="20">
        <f t="shared" si="1"/>
        <v>0</v>
      </c>
      <c r="O19" s="12"/>
      <c r="P19" s="3">
        <f>--493256.87</f>
        <v>493256.87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493256.87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--6619.94</f>
        <v>6619.94</v>
      </c>
      <c r="I20" s="3"/>
      <c r="J20" s="20"/>
      <c r="K20" s="3"/>
      <c r="L20" s="3">
        <f t="shared" si="0"/>
        <v>-6619.94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--12192.66</f>
        <v>12192.66</v>
      </c>
      <c r="U20" s="3"/>
      <c r="V20" s="20"/>
      <c r="W20" s="3"/>
      <c r="X20" s="3">
        <f t="shared" si="2"/>
        <v>-12192.66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--33247.79</f>
        <v>33247.79</v>
      </c>
      <c r="I21" s="3"/>
      <c r="J21" s="20"/>
      <c r="K21" s="3"/>
      <c r="L21" s="3">
        <f t="shared" si="0"/>
        <v>-33247.79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--219646.99</f>
        <v>219646.99</v>
      </c>
      <c r="U21" s="3"/>
      <c r="V21" s="20"/>
      <c r="W21" s="3"/>
      <c r="X21" s="3">
        <f t="shared" si="2"/>
        <v>-219646.99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--3104.68</f>
        <v>3104.68</v>
      </c>
      <c r="I22" s="3"/>
      <c r="J22" s="20"/>
      <c r="K22" s="3"/>
      <c r="L22" s="3">
        <f t="shared" si="0"/>
        <v>-3104.68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--13622.82</f>
        <v>13622.82</v>
      </c>
      <c r="U22" s="3"/>
      <c r="V22" s="20"/>
      <c r="W22" s="3"/>
      <c r="X22" s="3">
        <f t="shared" si="2"/>
        <v>-13622.82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--5296.67</f>
        <v>5296.67</v>
      </c>
      <c r="I23" s="3"/>
      <c r="J23" s="20"/>
      <c r="K23" s="3"/>
      <c r="L23" s="3">
        <f t="shared" si="0"/>
        <v>-5296.67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--35127.19</f>
        <v>35127.19</v>
      </c>
      <c r="U23" s="3"/>
      <c r="V23" s="20"/>
      <c r="W23" s="3"/>
      <c r="X23" s="3">
        <f t="shared" si="2"/>
        <v>-35127.19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--345.23</f>
        <v>345.23</v>
      </c>
      <c r="I24" s="3"/>
      <c r="J24" s="20"/>
      <c r="K24" s="3"/>
      <c r="L24" s="3">
        <f t="shared" si="0"/>
        <v>-345.23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--2830.26</f>
        <v>2830.26</v>
      </c>
      <c r="U24" s="3"/>
      <c r="V24" s="20"/>
      <c r="W24" s="3"/>
      <c r="X24" s="3">
        <f t="shared" si="2"/>
        <v>-2830.26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-25608.66</f>
        <v>-25608.66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-25608.66</v>
      </c>
      <c r="M25" s="3"/>
      <c r="N25" s="20">
        <f t="shared" si="1"/>
        <v>0</v>
      </c>
      <c r="O25" s="12"/>
      <c r="P25" s="3">
        <f>-224059.1</f>
        <v>-224059.1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-224059.1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-32711.15</f>
        <v>-32711.15</v>
      </c>
      <c r="I27" s="3"/>
      <c r="J27" s="20"/>
      <c r="K27" s="3"/>
      <c r="L27" s="3">
        <f t="shared" si="0"/>
        <v>32711.15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-129628.16</f>
        <v>-129628.16</v>
      </c>
      <c r="U27" s="3"/>
      <c r="V27" s="20"/>
      <c r="W27" s="3"/>
      <c r="X27" s="3">
        <f t="shared" si="2"/>
        <v>129628.16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-212.99</f>
        <v>-212.99</v>
      </c>
      <c r="I28" s="3"/>
      <c r="J28" s="20"/>
      <c r="K28" s="3"/>
      <c r="L28" s="3">
        <f t="shared" si="0"/>
        <v>212.99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-3359.28</f>
        <v>-3359.28</v>
      </c>
      <c r="U28" s="3"/>
      <c r="V28" s="20"/>
      <c r="W28" s="3"/>
      <c r="X28" s="3">
        <f t="shared" si="2"/>
        <v>3359.28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-149.99</f>
        <v>-149.99</v>
      </c>
      <c r="I29" s="3"/>
      <c r="J29" s="20"/>
      <c r="K29" s="3"/>
      <c r="L29" s="3">
        <f t="shared" si="0"/>
        <v>149.99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-841.97</f>
        <v>-841.97</v>
      </c>
      <c r="U29" s="3"/>
      <c r="V29" s="20"/>
      <c r="W29" s="3"/>
      <c r="X29" s="3">
        <f t="shared" si="2"/>
        <v>841.97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-34.97</f>
        <v>-34.97</v>
      </c>
      <c r="I30" s="3"/>
      <c r="J30" s="20"/>
      <c r="K30" s="3"/>
      <c r="L30" s="3">
        <f t="shared" si="0"/>
        <v>34.97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-4762.31</f>
        <v>-4762.3100000000004</v>
      </c>
      <c r="U30" s="3"/>
      <c r="V30" s="20"/>
      <c r="W30" s="3"/>
      <c r="X30" s="3">
        <f t="shared" si="2"/>
        <v>4762.3100000000004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-389.74</f>
        <v>-389.74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-389.74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","4500"," - ","SALES DISCOUNT")</f>
        <v xml:space="preserve">          4500 - SALES DISCOUNT</v>
      </c>
      <c r="C33" s="12"/>
      <c r="D33" s="3">
        <f>-177.38</f>
        <v>-177.38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-177.38</v>
      </c>
      <c r="M33" s="3"/>
      <c r="N33" s="20">
        <f t="shared" si="1"/>
        <v>0</v>
      </c>
      <c r="O33" s="12"/>
      <c r="P33" s="3">
        <f>-917.6</f>
        <v>-917.6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-917.6</v>
      </c>
      <c r="Y33" s="3"/>
      <c r="Z33" s="20">
        <f t="shared" si="3"/>
        <v>0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collapsed="1" x14ac:dyDescent="0.3">
      <c r="A35" s="11"/>
      <c r="B35" s="27" t="s">
        <v>287</v>
      </c>
      <c r="C35" s="11"/>
      <c r="D35" s="5">
        <f>SUM(OSRRefD16x_0)</f>
        <v>151731.15</v>
      </c>
      <c r="E35" s="5"/>
      <c r="F35" s="13">
        <f t="shared" ref="F35:F48" si="4">IF(D$12=0,0,D35/D$12)</f>
        <v>0.88550821033744931</v>
      </c>
      <c r="G35" s="5"/>
      <c r="H35" s="5">
        <f>SUM(OSRRefH16x_0)</f>
        <v>181960</v>
      </c>
      <c r="I35" s="5"/>
      <c r="J35" s="13">
        <f t="shared" ref="J35:J48" si="5">IF(H$12=0,0,H35/H$12)</f>
        <v>0.97862224552070287</v>
      </c>
      <c r="K35" s="5"/>
      <c r="L35" s="5">
        <f t="shared" ref="L35:L48" si="6">+D35-H35</f>
        <v>-30228.850000000006</v>
      </c>
      <c r="M35" s="5"/>
      <c r="N35" s="13">
        <f t="shared" ref="N35:N48" si="7">IF(H35=0,0,L35/H35)</f>
        <v>-0.16612909430644102</v>
      </c>
      <c r="O35" s="11"/>
      <c r="P35" s="5">
        <f>SUM(OSRRefP16x_0)</f>
        <v>1106038.9099999999</v>
      </c>
      <c r="Q35" s="5"/>
      <c r="R35" s="13">
        <f t="shared" ref="R35:R48" si="8">IF(P$12=0,0,P35/P$12)</f>
        <v>0.85489190391974479</v>
      </c>
      <c r="S35" s="5"/>
      <c r="T35" s="5">
        <f>SUM(OSRRefT16x_0)</f>
        <v>1508495.84</v>
      </c>
      <c r="U35" s="5"/>
      <c r="V35" s="13">
        <f t="shared" ref="V35:V48" si="9">IF(T$12=0,0,T35/T$12)</f>
        <v>0.94845844426481918</v>
      </c>
      <c r="W35" s="5"/>
      <c r="X35" s="5">
        <f t="shared" ref="X35:X48" si="10">+P35-T35</f>
        <v>-402456.93000000017</v>
      </c>
      <c r="Y35" s="5"/>
      <c r="Z35" s="13">
        <f t="shared" ref="Z35:Z48" si="11">IF(T35=0,0,X35/T35)</f>
        <v>-0.26679352990459698</v>
      </c>
    </row>
    <row r="36" spans="1:26" s="69" customFormat="1" ht="15" hidden="1" customHeight="1" outlineLevel="1" x14ac:dyDescent="0.3">
      <c r="A36" s="42"/>
      <c r="B36" s="12" t="str">
        <f>CONCATENATE("          ","5000"," - ","PURCHASES @ COST")</f>
        <v xml:space="preserve">          5000 - PURCHASES @ COST</v>
      </c>
      <c r="C36" s="12"/>
      <c r="D36" s="3">
        <v>148585.57</v>
      </c>
      <c r="E36" s="3"/>
      <c r="F36" s="20">
        <f t="shared" si="4"/>
        <v>0.8671504972622287</v>
      </c>
      <c r="G36" s="3"/>
      <c r="H36" s="3"/>
      <c r="I36" s="3"/>
      <c r="J36" s="20">
        <f t="shared" si="5"/>
        <v>0</v>
      </c>
      <c r="K36" s="3"/>
      <c r="L36" s="3">
        <f t="shared" si="6"/>
        <v>148585.57</v>
      </c>
      <c r="M36" s="3"/>
      <c r="N36" s="20">
        <f t="shared" si="7"/>
        <v>0</v>
      </c>
      <c r="O36" s="12"/>
      <c r="P36" s="3">
        <v>1174314.93</v>
      </c>
      <c r="Q36" s="3"/>
      <c r="R36" s="20">
        <f t="shared" si="8"/>
        <v>0.90766456517255967</v>
      </c>
      <c r="S36" s="3"/>
      <c r="T36" s="3">
        <v>0</v>
      </c>
      <c r="U36" s="3"/>
      <c r="V36" s="20">
        <f t="shared" si="9"/>
        <v>0</v>
      </c>
      <c r="W36" s="3"/>
      <c r="X36" s="3">
        <f t="shared" si="10"/>
        <v>1174314.93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","5081"," - ","PURCHASES @ COST-ELECTRONICS")</f>
        <v xml:space="preserve">          5081 - PURCHASES @ COST-ELECTRONICS</v>
      </c>
      <c r="C37" s="12"/>
      <c r="D37" s="3"/>
      <c r="E37" s="3"/>
      <c r="F37" s="20">
        <f t="shared" si="4"/>
        <v>0</v>
      </c>
      <c r="G37" s="3"/>
      <c r="H37" s="3">
        <v>6584.13</v>
      </c>
      <c r="I37" s="3"/>
      <c r="J37" s="20">
        <f t="shared" si="5"/>
        <v>3.5410947930315594E-2</v>
      </c>
      <c r="K37" s="3"/>
      <c r="L37" s="3">
        <f t="shared" si="6"/>
        <v>-6584.13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32157.9</v>
      </c>
      <c r="U37" s="3"/>
      <c r="V37" s="20">
        <f t="shared" si="9"/>
        <v>2.0219102364129576E-2</v>
      </c>
      <c r="W37" s="3"/>
      <c r="X37" s="3">
        <f t="shared" si="10"/>
        <v>-32157.9</v>
      </c>
      <c r="Y37" s="3"/>
      <c r="Z37" s="20">
        <f t="shared" si="11"/>
        <v>-1</v>
      </c>
    </row>
    <row r="38" spans="1:26" s="69" customFormat="1" ht="15" hidden="1" customHeight="1" outlineLevel="1" x14ac:dyDescent="0.3">
      <c r="A38" s="42"/>
      <c r="B38" s="12" t="str">
        <f>CONCATENATE("          ","5082"," - ","PURCHASES @ COST-COMPUTER HARD")</f>
        <v xml:space="preserve">          5082 - PURCHASES @ COST-COMPUTER HARD</v>
      </c>
      <c r="C38" s="12"/>
      <c r="D38" s="3"/>
      <c r="E38" s="3"/>
      <c r="F38" s="20">
        <f t="shared" si="4"/>
        <v>0</v>
      </c>
      <c r="G38" s="3"/>
      <c r="H38" s="3">
        <v>184376.31</v>
      </c>
      <c r="I38" s="3"/>
      <c r="J38" s="20">
        <f t="shared" si="5"/>
        <v>0.99161771000781063</v>
      </c>
      <c r="K38" s="3"/>
      <c r="L38" s="3">
        <f t="shared" si="6"/>
        <v>-184376.31</v>
      </c>
      <c r="M38" s="3"/>
      <c r="N38" s="20">
        <f t="shared" si="7"/>
        <v>-1</v>
      </c>
      <c r="O38" s="12"/>
      <c r="P38" s="3">
        <v>-93808.4</v>
      </c>
      <c r="Q38" s="3"/>
      <c r="R38" s="20">
        <f t="shared" si="8"/>
        <v>-7.2507432563710617E-2</v>
      </c>
      <c r="S38" s="3"/>
      <c r="T38" s="3">
        <v>1263577.8400000001</v>
      </c>
      <c r="U38" s="3"/>
      <c r="V38" s="20">
        <f t="shared" si="9"/>
        <v>0.79446760180253506</v>
      </c>
      <c r="W38" s="3"/>
      <c r="X38" s="3">
        <f t="shared" si="10"/>
        <v>-1357386.24</v>
      </c>
      <c r="Y38" s="3"/>
      <c r="Z38" s="20">
        <f t="shared" si="11"/>
        <v>-1.0742403016501143</v>
      </c>
    </row>
    <row r="39" spans="1:26" s="69" customFormat="1" ht="15" hidden="1" customHeight="1" outlineLevel="1" x14ac:dyDescent="0.3">
      <c r="A39" s="42"/>
      <c r="B39" s="12" t="str">
        <f>CONCATENATE("          ","5083"," - ","PURCHASES @ COST-COMPUTER EQUI")</f>
        <v xml:space="preserve">          5083 - PURCHASES @ COST-COMPUTER EQUI</v>
      </c>
      <c r="C39" s="12"/>
      <c r="D39" s="3"/>
      <c r="E39" s="3"/>
      <c r="F39" s="20">
        <f t="shared" si="4"/>
        <v>0</v>
      </c>
      <c r="G39" s="3"/>
      <c r="H39" s="3">
        <v>8631.6</v>
      </c>
      <c r="I39" s="3"/>
      <c r="J39" s="20">
        <f t="shared" si="5"/>
        <v>4.6422707047903383E-2</v>
      </c>
      <c r="K39" s="3"/>
      <c r="L39" s="3">
        <f t="shared" si="6"/>
        <v>-8631.6</v>
      </c>
      <c r="M39" s="3"/>
      <c r="N39" s="20">
        <f t="shared" si="7"/>
        <v>-1</v>
      </c>
      <c r="O39" s="12"/>
      <c r="P39" s="3">
        <v>0</v>
      </c>
      <c r="Q39" s="3"/>
      <c r="R39" s="20">
        <f t="shared" si="8"/>
        <v>0</v>
      </c>
      <c r="S39" s="3"/>
      <c r="T39" s="3">
        <v>99188.27</v>
      </c>
      <c r="U39" s="3"/>
      <c r="V39" s="20">
        <f t="shared" si="9"/>
        <v>6.2364078016628036E-2</v>
      </c>
      <c r="W39" s="3"/>
      <c r="X39" s="3">
        <f t="shared" si="10"/>
        <v>-99188.27</v>
      </c>
      <c r="Y39" s="3"/>
      <c r="Z39" s="20">
        <f t="shared" si="11"/>
        <v>-1</v>
      </c>
    </row>
    <row r="40" spans="1:26" s="69" customFormat="1" ht="15" hidden="1" customHeight="1" outlineLevel="1" x14ac:dyDescent="0.3">
      <c r="A40" s="42"/>
      <c r="B40" s="12" t="str">
        <f>CONCATENATE("          ","5085"," - ","PURCHASES @ COST-SOFTWARE")</f>
        <v xml:space="preserve">          5085 - PURCHASES @ COST-SOFTWARE</v>
      </c>
      <c r="C40" s="12"/>
      <c r="D40" s="3"/>
      <c r="E40" s="3"/>
      <c r="F40" s="20">
        <f t="shared" si="4"/>
        <v>0</v>
      </c>
      <c r="G40" s="3"/>
      <c r="H40" s="3">
        <v>1399.23</v>
      </c>
      <c r="I40" s="3"/>
      <c r="J40" s="20">
        <f t="shared" si="5"/>
        <v>7.5253770312152845E-3</v>
      </c>
      <c r="K40" s="3"/>
      <c r="L40" s="3">
        <f t="shared" si="6"/>
        <v>-1399.23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30145.45</v>
      </c>
      <c r="U40" s="3"/>
      <c r="V40" s="20">
        <f t="shared" si="9"/>
        <v>1.8953785519662349E-2</v>
      </c>
      <c r="W40" s="3"/>
      <c r="X40" s="3">
        <f t="shared" si="10"/>
        <v>-30145.45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","5086"," - ","PURCHASES @ COST-COMPUTER SUPP")</f>
        <v xml:space="preserve">          5086 - PURCHASES @ COST-COMPUTER SUPP</v>
      </c>
      <c r="C41" s="12"/>
      <c r="D41" s="3"/>
      <c r="E41" s="3"/>
      <c r="F41" s="20">
        <f t="shared" si="4"/>
        <v>0</v>
      </c>
      <c r="G41" s="3"/>
      <c r="H41" s="3">
        <v>385.43</v>
      </c>
      <c r="I41" s="3"/>
      <c r="J41" s="20">
        <f t="shared" si="5"/>
        <v>2.0729301609751843E-3</v>
      </c>
      <c r="K41" s="3"/>
      <c r="L41" s="3">
        <f t="shared" si="6"/>
        <v>-385.43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23125.279999999999</v>
      </c>
      <c r="U41" s="3"/>
      <c r="V41" s="20">
        <f t="shared" si="9"/>
        <v>1.4539892328763954E-2</v>
      </c>
      <c r="W41" s="3"/>
      <c r="X41" s="3">
        <f t="shared" si="10"/>
        <v>-23125.279999999999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-148609.87</v>
      </c>
      <c r="E42" s="3"/>
      <c r="F42" s="20">
        <f t="shared" si="4"/>
        <v>-0.86729231289805031</v>
      </c>
      <c r="G42" s="3"/>
      <c r="H42" s="3">
        <v>-201407.7</v>
      </c>
      <c r="I42" s="3"/>
      <c r="J42" s="20">
        <f t="shared" si="5"/>
        <v>-1.0832163972255446</v>
      </c>
      <c r="K42" s="3"/>
      <c r="L42" s="3">
        <f t="shared" si="6"/>
        <v>52797.830000000016</v>
      </c>
      <c r="M42" s="3"/>
      <c r="N42" s="20">
        <f t="shared" si="7"/>
        <v>-0.26214404911033695</v>
      </c>
      <c r="O42" s="12"/>
      <c r="P42" s="3">
        <v>-1174407.57</v>
      </c>
      <c r="Q42" s="3"/>
      <c r="R42" s="20">
        <f t="shared" si="8"/>
        <v>-0.90773616951239189</v>
      </c>
      <c r="S42" s="3"/>
      <c r="T42" s="3">
        <v>-1444671.48</v>
      </c>
      <c r="U42" s="3"/>
      <c r="V42" s="20">
        <f t="shared" si="9"/>
        <v>-0.90832922972764296</v>
      </c>
      <c r="W42" s="3"/>
      <c r="X42" s="3">
        <f t="shared" si="10"/>
        <v>270263.90999999992</v>
      </c>
      <c r="Y42" s="3"/>
      <c r="Z42" s="20">
        <f t="shared" si="11"/>
        <v>-0.18707637946863873</v>
      </c>
    </row>
    <row r="43" spans="1:26" s="69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151731.15</v>
      </c>
      <c r="E43" s="3"/>
      <c r="F43" s="20">
        <f t="shared" si="4"/>
        <v>0.88550821033744931</v>
      </c>
      <c r="G43" s="3"/>
      <c r="H43" s="3">
        <v>181960</v>
      </c>
      <c r="I43" s="3"/>
      <c r="J43" s="20">
        <f t="shared" si="5"/>
        <v>0.97862224552070287</v>
      </c>
      <c r="K43" s="3"/>
      <c r="L43" s="3">
        <f t="shared" si="6"/>
        <v>-30228.850000000006</v>
      </c>
      <c r="M43" s="3"/>
      <c r="N43" s="20">
        <f t="shared" si="7"/>
        <v>-0.16612909430644102</v>
      </c>
      <c r="O43" s="12"/>
      <c r="P43" s="3">
        <v>1199847.31</v>
      </c>
      <c r="Q43" s="3"/>
      <c r="R43" s="20">
        <f t="shared" si="8"/>
        <v>0.92739933648345552</v>
      </c>
      <c r="S43" s="3"/>
      <c r="T43" s="3">
        <v>1504550</v>
      </c>
      <c r="U43" s="3"/>
      <c r="V43" s="20">
        <f t="shared" si="9"/>
        <v>0.94597751911508998</v>
      </c>
      <c r="W43" s="3"/>
      <c r="X43" s="3">
        <f t="shared" si="10"/>
        <v>-304702.68999999994</v>
      </c>
      <c r="Y43" s="3"/>
      <c r="Z43" s="20">
        <f t="shared" si="11"/>
        <v>-0.20252081353228538</v>
      </c>
    </row>
    <row r="44" spans="1:26" s="69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24.3</v>
      </c>
      <c r="E44" s="3"/>
      <c r="F44" s="20">
        <f t="shared" si="4"/>
        <v>1.4181563582164915E-4</v>
      </c>
      <c r="G44" s="3"/>
      <c r="H44" s="3"/>
      <c r="I44" s="3"/>
      <c r="J44" s="20">
        <f t="shared" si="5"/>
        <v>0</v>
      </c>
      <c r="K44" s="3"/>
      <c r="L44" s="3">
        <f t="shared" si="6"/>
        <v>24.3</v>
      </c>
      <c r="M44" s="3"/>
      <c r="N44" s="20">
        <f t="shared" si="7"/>
        <v>0</v>
      </c>
      <c r="O44" s="12"/>
      <c r="P44" s="3">
        <v>92.64</v>
      </c>
      <c r="Q44" s="3"/>
      <c r="R44" s="20">
        <f t="shared" si="8"/>
        <v>7.1604339832063559E-5</v>
      </c>
      <c r="S44" s="3"/>
      <c r="T44" s="3">
        <v>0</v>
      </c>
      <c r="U44" s="3"/>
      <c r="V44" s="20">
        <f t="shared" si="9"/>
        <v>0</v>
      </c>
      <c r="W44" s="3"/>
      <c r="X44" s="3">
        <f t="shared" si="10"/>
        <v>92.64</v>
      </c>
      <c r="Y44" s="3"/>
      <c r="Z44" s="20">
        <f t="shared" si="11"/>
        <v>0</v>
      </c>
    </row>
    <row r="45" spans="1:26" s="69" customFormat="1" ht="15" hidden="1" customHeight="1" outlineLevel="1" x14ac:dyDescent="0.3">
      <c r="A45" s="42"/>
      <c r="B45" s="12" t="str">
        <f>CONCATENATE("          ","5581"," - ","FREIGHT-IN-ELECTRONICS")</f>
        <v xml:space="preserve">          5581 - FREIGHT-IN-ELECTRONICS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31</v>
      </c>
      <c r="U45" s="3"/>
      <c r="V45" s="20">
        <f t="shared" si="9"/>
        <v>1.9491079121709341E-5</v>
      </c>
      <c r="W45" s="3"/>
      <c r="X45" s="3">
        <f t="shared" si="10"/>
        <v>-31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","5582"," - ","FREIGHT-IN-COMPUTER HARDWARE")</f>
        <v xml:space="preserve">          5582 - FREIGHT-IN-COMPUTER HARDWARE</v>
      </c>
      <c r="C46" s="12"/>
      <c r="D46" s="3"/>
      <c r="E46" s="3"/>
      <c r="F46" s="20">
        <f t="shared" si="4"/>
        <v>0</v>
      </c>
      <c r="G46" s="3"/>
      <c r="H46" s="3">
        <v>31</v>
      </c>
      <c r="I46" s="3"/>
      <c r="J46" s="20">
        <f t="shared" si="5"/>
        <v>1.6672504732436684E-4</v>
      </c>
      <c r="K46" s="3"/>
      <c r="L46" s="3">
        <f t="shared" si="6"/>
        <v>-31</v>
      </c>
      <c r="M46" s="3"/>
      <c r="N46" s="20">
        <f t="shared" si="7"/>
        <v>-1</v>
      </c>
      <c r="O46" s="12"/>
      <c r="P46" s="3"/>
      <c r="Q46" s="3"/>
      <c r="R46" s="20">
        <f t="shared" si="8"/>
        <v>0</v>
      </c>
      <c r="S46" s="3"/>
      <c r="T46" s="3">
        <v>125</v>
      </c>
      <c r="U46" s="3"/>
      <c r="V46" s="20">
        <f t="shared" si="9"/>
        <v>7.8593060974634438E-5</v>
      </c>
      <c r="W46" s="3"/>
      <c r="X46" s="3">
        <f t="shared" si="10"/>
        <v>-125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","5583"," - ","FREIGHT-IN-COMPUTER EQUIPMENT")</f>
        <v xml:space="preserve">          5583 - FREIGHT-IN-COMPUTER EQUIPMENT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>
        <v>242.46</v>
      </c>
      <c r="U47" s="3"/>
      <c r="V47" s="20">
        <f t="shared" si="9"/>
        <v>1.5244538851127894E-4</v>
      </c>
      <c r="W47" s="3"/>
      <c r="X47" s="3">
        <f t="shared" si="10"/>
        <v>-242.46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","5586"," - ","FREIGHT-IN-COMPUTER SUPPLIES")</f>
        <v xml:space="preserve">          5586 - FREIGHT-IN-COMPUTER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24.12</v>
      </c>
      <c r="U48" s="3"/>
      <c r="V48" s="20">
        <f t="shared" si="9"/>
        <v>1.5165317045665462E-5</v>
      </c>
      <c r="W48" s="3"/>
      <c r="X48" s="3">
        <f t="shared" si="10"/>
        <v>-24.12</v>
      </c>
      <c r="Y48" s="3"/>
      <c r="Z48" s="20">
        <f t="shared" si="11"/>
        <v>-1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288</v>
      </c>
      <c r="C50" s="28"/>
      <c r="D50" s="23">
        <f>D12-D35</f>
        <v>19618.080000000016</v>
      </c>
      <c r="E50" s="15"/>
      <c r="F50" s="22">
        <f>IF(D$12=0,0,D50/D$12)</f>
        <v>0.11449178966255066</v>
      </c>
      <c r="G50" s="15"/>
      <c r="H50" s="23">
        <f>H12-H35</f>
        <v>3974.8700000000244</v>
      </c>
      <c r="I50" s="15"/>
      <c r="J50" s="22">
        <f>IF(H$12=0,0,H50/H$12)</f>
        <v>2.1377754479297101E-2</v>
      </c>
      <c r="K50" s="17"/>
      <c r="L50" s="23">
        <f>+D50-H50</f>
        <v>15643.209999999992</v>
      </c>
      <c r="M50" s="17"/>
      <c r="N50" s="22">
        <f>IF(H50=0,0,L50/H50)</f>
        <v>3.9355274512122147</v>
      </c>
      <c r="O50" s="27"/>
      <c r="P50" s="23">
        <f>P12-P35</f>
        <v>187737.41999999993</v>
      </c>
      <c r="Q50" s="15"/>
      <c r="R50" s="22">
        <f>IF(P$12=0,0,P50/P$12)</f>
        <v>0.14510809608025518</v>
      </c>
      <c r="S50" s="15"/>
      <c r="T50" s="23">
        <f>T12-T35</f>
        <v>81975.35999999987</v>
      </c>
      <c r="U50" s="15"/>
      <c r="V50" s="22">
        <f>IF(T$12=0,0,T50/T$12)</f>
        <v>5.1541555735180787E-2</v>
      </c>
      <c r="W50" s="17"/>
      <c r="X50" s="23">
        <f>+P50-T50</f>
        <v>105762.06000000006</v>
      </c>
      <c r="Y50" s="17"/>
      <c r="Z50" s="22">
        <f>IF(T50=0,0,X50/T50)</f>
        <v>1.2901688995327403</v>
      </c>
    </row>
    <row r="51" spans="1:26" ht="15" customHeight="1" x14ac:dyDescent="0.3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2" customFormat="1" ht="15" customHeight="1" x14ac:dyDescent="0.3">
      <c r="A52" s="11"/>
      <c r="B52" s="27" t="s">
        <v>289</v>
      </c>
      <c r="C52" s="11"/>
      <c r="D52" s="21" cm="1">
        <f t="array" ref="D52">SUM(OSRRefD22x_0)</f>
        <v>15917.660000000002</v>
      </c>
      <c r="E52" s="21"/>
      <c r="F52" s="30">
        <f t="shared" ref="F52:F89" si="12">IF(D$12=0,0,D52/D$12)</f>
        <v>9.2896011263079503E-2</v>
      </c>
      <c r="G52" s="21"/>
      <c r="H52" s="21" cm="1">
        <f t="array" ref="H52">SUM(OSRRefH22x_0)</f>
        <v>12623.33</v>
      </c>
      <c r="I52" s="21"/>
      <c r="J52" s="30">
        <f t="shared" ref="J52:J89" si="13">IF(H$12=0,0,H52/H$12)</f>
        <v>6.789113844003547E-2</v>
      </c>
      <c r="K52" s="5"/>
      <c r="L52" s="21">
        <f t="shared" ref="L52:L89" si="14">+D52-H52</f>
        <v>3294.3300000000017</v>
      </c>
      <c r="M52" s="5"/>
      <c r="N52" s="30">
        <f t="shared" ref="N52:N89" si="15">IF(H52=0,0,L52/H52)</f>
        <v>0.26097155029615815</v>
      </c>
      <c r="O52" s="11"/>
      <c r="P52" s="21" cm="1">
        <f t="array" ref="P52">SUM(OSRRefP22x_0)</f>
        <v>115815.06000000001</v>
      </c>
      <c r="Q52" s="21"/>
      <c r="R52" s="30">
        <f t="shared" ref="R52:R89" si="16">IF(P$12=0,0,P52/P$12)</f>
        <v>8.9517065132888943E-2</v>
      </c>
      <c r="S52" s="21"/>
      <c r="T52" s="21" cm="1">
        <f t="array" ref="T52">SUM(OSRRefT22x_0)</f>
        <v>107108.01999999997</v>
      </c>
      <c r="U52" s="21"/>
      <c r="V52" s="30">
        <f t="shared" ref="V52:V89" si="17">IF(T$12=0,0,T52/T$12)</f>
        <v>6.7343577173858901E-2</v>
      </c>
      <c r="W52" s="5"/>
      <c r="X52" s="21">
        <f t="shared" ref="X52:X89" si="18">+P52-T52</f>
        <v>8707.0400000000373</v>
      </c>
      <c r="Y52" s="5"/>
      <c r="Z52" s="30">
        <f t="shared" ref="Z52:Z89" si="19">IF(T52=0,0,X52/T52)</f>
        <v>8.1292138534537747E-2</v>
      </c>
    </row>
    <row r="53" spans="1:26" s="68" customFormat="1" ht="15" customHeight="1" outlineLevel="1" collapsed="1" x14ac:dyDescent="0.3">
      <c r="A53" s="25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5158.8</v>
      </c>
      <c r="E53" s="2"/>
      <c r="F53" s="6">
        <f t="shared" si="12"/>
        <v>3.010693424184048E-2</v>
      </c>
      <c r="G53" s="2"/>
      <c r="H53" s="2">
        <f>SUM(OSRRefH22_0x_0)</f>
        <v>2731.1200000000003</v>
      </c>
      <c r="I53" s="2"/>
      <c r="J53" s="6">
        <f t="shared" si="13"/>
        <v>1.4688584233823382E-2</v>
      </c>
      <c r="K53" s="2"/>
      <c r="L53" s="2">
        <f t="shared" si="14"/>
        <v>2427.6799999999998</v>
      </c>
      <c r="M53" s="2"/>
      <c r="N53" s="6">
        <f t="shared" si="15"/>
        <v>0.88889539822490393</v>
      </c>
      <c r="O53" s="14"/>
      <c r="P53" s="2">
        <f>SUM(OSRRefP22_0x_0)</f>
        <v>19968.349999999995</v>
      </c>
      <c r="Q53" s="2"/>
      <c r="R53" s="6">
        <f t="shared" si="16"/>
        <v>1.5434159318713149E-2</v>
      </c>
      <c r="S53" s="2"/>
      <c r="T53" s="2">
        <f>SUM(OSRRefT22_0x_0)</f>
        <v>23297.929999999997</v>
      </c>
      <c r="U53" s="2"/>
      <c r="V53" s="6">
        <f t="shared" si="17"/>
        <v>1.4648445064582117E-2</v>
      </c>
      <c r="W53" s="2"/>
      <c r="X53" s="2">
        <f t="shared" si="18"/>
        <v>-3329.5800000000017</v>
      </c>
      <c r="Y53" s="2"/>
      <c r="Z53" s="6">
        <f t="shared" si="19"/>
        <v>-0.14291312575838291</v>
      </c>
    </row>
    <row r="54" spans="1:26" s="69" customFormat="1" ht="15" hidden="1" customHeight="1" outlineLevel="2" x14ac:dyDescent="0.3">
      <c r="A54" s="26"/>
      <c r="B54" s="12" t="str">
        <f>CONCATENATE("          ","6111"," - ","F.I.C.A.")</f>
        <v xml:space="preserve">          6111 - F.I.C.A.</v>
      </c>
      <c r="C54" s="12"/>
      <c r="D54" s="8">
        <v>523.23</v>
      </c>
      <c r="E54" s="3"/>
      <c r="F54" s="7">
        <f t="shared" si="12"/>
        <v>3.0535882769942998E-3</v>
      </c>
      <c r="G54" s="3"/>
      <c r="H54" s="8">
        <v>449.24</v>
      </c>
      <c r="I54" s="3"/>
      <c r="J54" s="7">
        <f t="shared" si="13"/>
        <v>2.4161148470967279E-3</v>
      </c>
      <c r="K54" s="3"/>
      <c r="L54" s="8">
        <f t="shared" si="14"/>
        <v>73.990000000000009</v>
      </c>
      <c r="M54" s="3"/>
      <c r="N54" s="7">
        <f t="shared" si="15"/>
        <v>0.16470038286884517</v>
      </c>
      <c r="O54" s="12"/>
      <c r="P54" s="8">
        <v>4287.54</v>
      </c>
      <c r="Q54" s="3"/>
      <c r="R54" s="7">
        <f t="shared" si="16"/>
        <v>3.3139731347535169E-3</v>
      </c>
      <c r="S54" s="3"/>
      <c r="T54" s="8">
        <v>4288.84</v>
      </c>
      <c r="U54" s="3"/>
      <c r="V54" s="7">
        <f t="shared" si="17"/>
        <v>2.6965845090436095E-3</v>
      </c>
      <c r="W54" s="3"/>
      <c r="X54" s="8">
        <f t="shared" si="18"/>
        <v>-1.3000000000001819</v>
      </c>
      <c r="Y54" s="3"/>
      <c r="Z54" s="7">
        <f t="shared" si="19"/>
        <v>-3.0311226345589525E-4</v>
      </c>
    </row>
    <row r="55" spans="1:26" s="69" customFormat="1" ht="15" hidden="1" customHeight="1" outlineLevel="2" x14ac:dyDescent="0.3">
      <c r="A55" s="26"/>
      <c r="B55" s="12" t="str">
        <f>CONCATENATE("          ","6112"," - ","COMPENSATION INSURANCE")</f>
        <v xml:space="preserve">          6112 - COMPENSATION INSURANCE</v>
      </c>
      <c r="C55" s="12"/>
      <c r="D55" s="8">
        <v>150.32</v>
      </c>
      <c r="E55" s="3"/>
      <c r="F55" s="7">
        <f t="shared" si="12"/>
        <v>8.7727269039960078E-4</v>
      </c>
      <c r="G55" s="3"/>
      <c r="H55" s="8">
        <v>145.49</v>
      </c>
      <c r="I55" s="3"/>
      <c r="J55" s="7">
        <f t="shared" si="13"/>
        <v>7.8247829468458497E-4</v>
      </c>
      <c r="K55" s="3"/>
      <c r="L55" s="8">
        <f t="shared" si="14"/>
        <v>4.8299999999999841</v>
      </c>
      <c r="M55" s="3"/>
      <c r="N55" s="7">
        <f t="shared" si="15"/>
        <v>3.3198157948999822E-2</v>
      </c>
      <c r="O55" s="12"/>
      <c r="P55" s="8">
        <v>1149.3499999999999</v>
      </c>
      <c r="Q55" s="3"/>
      <c r="R55" s="7">
        <f t="shared" si="16"/>
        <v>8.883683936310692E-4</v>
      </c>
      <c r="S55" s="3"/>
      <c r="T55" s="8">
        <v>1174.21</v>
      </c>
      <c r="U55" s="3"/>
      <c r="V55" s="7">
        <f t="shared" si="17"/>
        <v>7.382780650162041E-4</v>
      </c>
      <c r="W55" s="3"/>
      <c r="X55" s="8">
        <f t="shared" si="18"/>
        <v>-24.860000000000127</v>
      </c>
      <c r="Y55" s="3"/>
      <c r="Z55" s="7">
        <f t="shared" si="19"/>
        <v>-2.1171681385782889E-2</v>
      </c>
    </row>
    <row r="56" spans="1:26" s="69" customFormat="1" ht="15" hidden="1" customHeight="1" outlineLevel="2" x14ac:dyDescent="0.3">
      <c r="A56" s="26"/>
      <c r="B56" s="12" t="str">
        <f>CONCATENATE("          ","6113"," - ","GROUP INSURANCE")</f>
        <v xml:space="preserve">          6113 - GROUP INSURANCE</v>
      </c>
      <c r="C56" s="12"/>
      <c r="D56" s="8">
        <v>1539.12</v>
      </c>
      <c r="E56" s="3"/>
      <c r="F56" s="7">
        <f t="shared" si="12"/>
        <v>8.9823572594986256E-3</v>
      </c>
      <c r="G56" s="3"/>
      <c r="H56" s="8">
        <v>1053.8499999999999</v>
      </c>
      <c r="I56" s="3"/>
      <c r="J56" s="7">
        <f t="shared" si="13"/>
        <v>5.6678448749285151E-3</v>
      </c>
      <c r="K56" s="3"/>
      <c r="L56" s="8">
        <f t="shared" si="14"/>
        <v>485.27</v>
      </c>
      <c r="M56" s="3"/>
      <c r="N56" s="7">
        <f t="shared" si="15"/>
        <v>0.46047350192152586</v>
      </c>
      <c r="O56" s="12"/>
      <c r="P56" s="8">
        <v>6828.65</v>
      </c>
      <c r="Q56" s="3"/>
      <c r="R56" s="7">
        <f t="shared" si="16"/>
        <v>5.2780761571051471E-3</v>
      </c>
      <c r="S56" s="3"/>
      <c r="T56" s="8">
        <v>8322.48</v>
      </c>
      <c r="U56" s="3"/>
      <c r="V56" s="7">
        <f t="shared" si="17"/>
        <v>5.2327134248014049E-3</v>
      </c>
      <c r="W56" s="3"/>
      <c r="X56" s="8">
        <f t="shared" si="18"/>
        <v>-1493.83</v>
      </c>
      <c r="Y56" s="3"/>
      <c r="Z56" s="7">
        <f t="shared" si="19"/>
        <v>-0.1794933721679115</v>
      </c>
    </row>
    <row r="57" spans="1:26" s="69" customFormat="1" ht="15" hidden="1" customHeight="1" outlineLevel="2" x14ac:dyDescent="0.3">
      <c r="A57" s="26"/>
      <c r="B57" s="12" t="str">
        <f>CONCATENATE("          ","6114"," - ","STATE UNEMPLOYMENT INSURANCE")</f>
        <v xml:space="preserve">          6114 - STATE UNEMPLOYMENT INSURANCE</v>
      </c>
      <c r="C57" s="12"/>
      <c r="D57" s="8">
        <v>26.41</v>
      </c>
      <c r="E57" s="3"/>
      <c r="F57" s="7">
        <f t="shared" si="12"/>
        <v>1.5412966839710923E-4</v>
      </c>
      <c r="G57" s="3"/>
      <c r="H57" s="8">
        <v>20.45</v>
      </c>
      <c r="I57" s="3"/>
      <c r="J57" s="7">
        <f t="shared" si="13"/>
        <v>1.0998474896075166E-4</v>
      </c>
      <c r="K57" s="3"/>
      <c r="L57" s="8">
        <f t="shared" si="14"/>
        <v>5.9600000000000009</v>
      </c>
      <c r="M57" s="3"/>
      <c r="N57" s="7">
        <f t="shared" si="15"/>
        <v>0.2914425427872861</v>
      </c>
      <c r="O57" s="12"/>
      <c r="P57" s="8">
        <v>201.92</v>
      </c>
      <c r="Q57" s="3"/>
      <c r="R57" s="7">
        <f t="shared" si="16"/>
        <v>1.5607025365814198E-4</v>
      </c>
      <c r="S57" s="3"/>
      <c r="T57" s="8">
        <v>179.73</v>
      </c>
      <c r="U57" s="3"/>
      <c r="V57" s="7">
        <f t="shared" si="17"/>
        <v>1.1300424679176837E-4</v>
      </c>
      <c r="W57" s="3"/>
      <c r="X57" s="8">
        <f t="shared" si="18"/>
        <v>22.189999999999998</v>
      </c>
      <c r="Y57" s="3"/>
      <c r="Z57" s="7">
        <f t="shared" si="19"/>
        <v>0.12346297223613197</v>
      </c>
    </row>
    <row r="58" spans="1:26" s="69" customFormat="1" ht="15" hidden="1" customHeight="1" outlineLevel="2" x14ac:dyDescent="0.3">
      <c r="A58" s="26"/>
      <c r="B58" s="12" t="str">
        <f>CONCATENATE("          ","6115"," - ","P.E.R.S.")</f>
        <v xml:space="preserve">          6115 - P.E.R.S.</v>
      </c>
      <c r="C58" s="12"/>
      <c r="D58" s="8">
        <v>123.87</v>
      </c>
      <c r="E58" s="3"/>
      <c r="F58" s="7">
        <f t="shared" si="12"/>
        <v>7.2290958062665351E-4</v>
      </c>
      <c r="G58" s="3"/>
      <c r="H58" s="8">
        <v>176.42</v>
      </c>
      <c r="I58" s="3"/>
      <c r="J58" s="7">
        <f t="shared" si="13"/>
        <v>9.4882686609563862E-4</v>
      </c>
      <c r="K58" s="3"/>
      <c r="L58" s="8">
        <f t="shared" si="14"/>
        <v>-52.549999999999983</v>
      </c>
      <c r="M58" s="3"/>
      <c r="N58" s="7">
        <f t="shared" si="15"/>
        <v>-0.29786872236707851</v>
      </c>
      <c r="O58" s="12"/>
      <c r="P58" s="8">
        <v>914.81</v>
      </c>
      <c r="Q58" s="3"/>
      <c r="R58" s="7">
        <f t="shared" si="16"/>
        <v>7.0708512653033318E-4</v>
      </c>
      <c r="S58" s="3"/>
      <c r="T58" s="8">
        <v>1587.78</v>
      </c>
      <c r="U58" s="3"/>
      <c r="V58" s="7">
        <f t="shared" si="17"/>
        <v>9.9830792283444052E-4</v>
      </c>
      <c r="W58" s="3"/>
      <c r="X58" s="8">
        <f t="shared" si="18"/>
        <v>-672.97</v>
      </c>
      <c r="Y58" s="3"/>
      <c r="Z58" s="7">
        <f t="shared" si="19"/>
        <v>-0.42384335361322101</v>
      </c>
    </row>
    <row r="59" spans="1:26" s="69" customFormat="1" ht="15" hidden="1" customHeight="1" outlineLevel="2" x14ac:dyDescent="0.3">
      <c r="A59" s="26"/>
      <c r="B59" s="12" t="str">
        <f>CONCATENATE("          ","6117"," - ","RETIREMENT STAFF HOURLY")</f>
        <v xml:space="preserve">          6117 - RETIREMENT STAFF HOURLY</v>
      </c>
      <c r="C59" s="12"/>
      <c r="D59" s="8">
        <v>120</v>
      </c>
      <c r="E59" s="3"/>
      <c r="F59" s="7">
        <f t="shared" si="12"/>
        <v>7.0032412751431681E-4</v>
      </c>
      <c r="G59" s="3"/>
      <c r="H59" s="8">
        <v>176</v>
      </c>
      <c r="I59" s="3"/>
      <c r="J59" s="7">
        <f t="shared" si="13"/>
        <v>9.4656801061576007E-4</v>
      </c>
      <c r="K59" s="3"/>
      <c r="L59" s="8">
        <f t="shared" si="14"/>
        <v>-56</v>
      </c>
      <c r="M59" s="3"/>
      <c r="N59" s="7">
        <f t="shared" si="15"/>
        <v>-0.31818181818181818</v>
      </c>
      <c r="O59" s="12"/>
      <c r="P59" s="8">
        <v>-117.34</v>
      </c>
      <c r="Q59" s="3"/>
      <c r="R59" s="7">
        <f t="shared" si="16"/>
        <v>-9.0695738729429392E-5</v>
      </c>
      <c r="S59" s="3"/>
      <c r="T59" s="8">
        <v>1457.04</v>
      </c>
      <c r="U59" s="3"/>
      <c r="V59" s="7">
        <f t="shared" si="17"/>
        <v>9.1610586849985088E-4</v>
      </c>
      <c r="W59" s="3"/>
      <c r="X59" s="8">
        <f t="shared" si="18"/>
        <v>-1574.3799999999999</v>
      </c>
      <c r="Y59" s="3"/>
      <c r="Z59" s="7">
        <f t="shared" si="19"/>
        <v>-1.080533135672322</v>
      </c>
    </row>
    <row r="60" spans="1:26" s="69" customFormat="1" ht="15" hidden="1" customHeight="1" outlineLevel="2" x14ac:dyDescent="0.3">
      <c r="A60" s="26"/>
      <c r="B60" s="12" t="str">
        <f>CONCATENATE("          ","6118"," - ","VACATION")</f>
        <v xml:space="preserve">          6118 - VACATION</v>
      </c>
      <c r="C60" s="12"/>
      <c r="D60" s="8">
        <v>917.55</v>
      </c>
      <c r="E60" s="3"/>
      <c r="F60" s="7">
        <f t="shared" si="12"/>
        <v>5.3548533600063447E-3</v>
      </c>
      <c r="G60" s="3"/>
      <c r="H60" s="8">
        <v>267.04000000000002</v>
      </c>
      <c r="I60" s="3"/>
      <c r="J60" s="7">
        <f t="shared" si="13"/>
        <v>1.4362018270160943E-3</v>
      </c>
      <c r="K60" s="3"/>
      <c r="L60" s="8">
        <f t="shared" si="14"/>
        <v>650.51</v>
      </c>
      <c r="M60" s="3"/>
      <c r="N60" s="7">
        <f t="shared" si="15"/>
        <v>2.4360020970641099</v>
      </c>
      <c r="O60" s="12"/>
      <c r="P60" s="8">
        <v>2292.9699999999998</v>
      </c>
      <c r="Q60" s="3"/>
      <c r="R60" s="7">
        <f t="shared" si="16"/>
        <v>1.7723078918904013E-3</v>
      </c>
      <c r="S60" s="3"/>
      <c r="T60" s="8">
        <v>2223.62</v>
      </c>
      <c r="U60" s="3"/>
      <c r="V60" s="7">
        <f t="shared" si="17"/>
        <v>1.398088817955333E-3</v>
      </c>
      <c r="W60" s="3"/>
      <c r="X60" s="8">
        <f t="shared" si="18"/>
        <v>69.349999999999909</v>
      </c>
      <c r="Y60" s="3"/>
      <c r="Z60" s="7">
        <f t="shared" si="19"/>
        <v>3.1187882821705107E-2</v>
      </c>
    </row>
    <row r="61" spans="1:26" s="69" customFormat="1" ht="15" hidden="1" customHeight="1" outlineLevel="2" x14ac:dyDescent="0.3">
      <c r="A61" s="26"/>
      <c r="B61" s="12" t="str">
        <f>CONCATENATE("          ","6119"," - ","SICK LEAVE")</f>
        <v xml:space="preserve">          6119 - SICK LEAVE</v>
      </c>
      <c r="C61" s="12"/>
      <c r="D61" s="8">
        <v>1533.28</v>
      </c>
      <c r="E61" s="3"/>
      <c r="F61" s="7">
        <f t="shared" si="12"/>
        <v>8.9482748186262631E-3</v>
      </c>
      <c r="G61" s="3"/>
      <c r="H61" s="8">
        <v>267.63</v>
      </c>
      <c r="I61" s="3"/>
      <c r="J61" s="7">
        <f t="shared" si="13"/>
        <v>1.4393749811425901E-3</v>
      </c>
      <c r="K61" s="3"/>
      <c r="L61" s="8">
        <f t="shared" si="14"/>
        <v>1265.6500000000001</v>
      </c>
      <c r="M61" s="3"/>
      <c r="N61" s="7">
        <f t="shared" si="15"/>
        <v>4.7291036131973252</v>
      </c>
      <c r="O61" s="12"/>
      <c r="P61" s="8">
        <v>3074.44</v>
      </c>
      <c r="Q61" s="3"/>
      <c r="R61" s="7">
        <f t="shared" si="16"/>
        <v>2.3763303816201372E-3</v>
      </c>
      <c r="S61" s="3"/>
      <c r="T61" s="8">
        <v>2219.5500000000002</v>
      </c>
      <c r="U61" s="3"/>
      <c r="V61" s="7">
        <f t="shared" si="17"/>
        <v>1.3955298278899991E-3</v>
      </c>
      <c r="W61" s="3"/>
      <c r="X61" s="8">
        <f t="shared" si="18"/>
        <v>854.88999999999987</v>
      </c>
      <c r="Y61" s="3"/>
      <c r="Z61" s="7">
        <f t="shared" si="19"/>
        <v>0.38516365930030855</v>
      </c>
    </row>
    <row r="62" spans="1:26" s="69" customFormat="1" ht="15" hidden="1" customHeight="1" outlineLevel="2" x14ac:dyDescent="0.3">
      <c r="A62" s="26"/>
      <c r="B62" s="12" t="str">
        <f>CONCATENATE("          ","6156"," - ","EMPLOYEE MEALS")</f>
        <v xml:space="preserve">          6156 - EMPLOYEE MEALS</v>
      </c>
      <c r="C62" s="12"/>
      <c r="D62" s="8">
        <v>225.02</v>
      </c>
      <c r="E62" s="3"/>
      <c r="F62" s="7">
        <f t="shared" si="12"/>
        <v>1.3132244597772631E-3</v>
      </c>
      <c r="G62" s="3"/>
      <c r="H62" s="8">
        <v>175</v>
      </c>
      <c r="I62" s="3"/>
      <c r="J62" s="7">
        <f t="shared" si="13"/>
        <v>9.4118978328271608E-4</v>
      </c>
      <c r="K62" s="3"/>
      <c r="L62" s="8">
        <f t="shared" si="14"/>
        <v>50.02000000000001</v>
      </c>
      <c r="M62" s="3"/>
      <c r="N62" s="7">
        <f t="shared" si="15"/>
        <v>0.28582857142857149</v>
      </c>
      <c r="O62" s="12"/>
      <c r="P62" s="8">
        <v>1336.01</v>
      </c>
      <c r="Q62" s="3"/>
      <c r="R62" s="7">
        <f t="shared" si="16"/>
        <v>1.0326437182538346E-3</v>
      </c>
      <c r="S62" s="3"/>
      <c r="T62" s="8">
        <v>1844.68</v>
      </c>
      <c r="U62" s="3"/>
      <c r="V62" s="7">
        <f t="shared" si="17"/>
        <v>1.1598323817495094E-3</v>
      </c>
      <c r="W62" s="3"/>
      <c r="X62" s="8">
        <f t="shared" si="18"/>
        <v>-508.67000000000007</v>
      </c>
      <c r="Y62" s="3"/>
      <c r="Z62" s="7">
        <f t="shared" si="19"/>
        <v>-0.27574972352928423</v>
      </c>
    </row>
    <row r="63" spans="1:26" s="68" customFormat="1" ht="15" customHeight="1" outlineLevel="1" collapsed="1" x14ac:dyDescent="0.3">
      <c r="A63" s="25"/>
      <c r="B63" s="14" t="str">
        <f>CONCATENATE("     ","*Payroll                                          ")</f>
        <v xml:space="preserve">     *Payroll                                          </v>
      </c>
      <c r="C63" s="14"/>
      <c r="D63" s="2">
        <f>SUM(OSRRefD22_1x_0)</f>
        <v>9615.25</v>
      </c>
      <c r="E63" s="2"/>
      <c r="F63" s="6">
        <f t="shared" si="12"/>
        <v>5.6114929725683618E-2</v>
      </c>
      <c r="G63" s="2"/>
      <c r="H63" s="2">
        <f>SUM(OSRRefH22_1x_0)</f>
        <v>8014.16</v>
      </c>
      <c r="I63" s="2"/>
      <c r="J63" s="6">
        <f t="shared" si="13"/>
        <v>4.3101974363388633E-2</v>
      </c>
      <c r="K63" s="2"/>
      <c r="L63" s="2">
        <f t="shared" si="14"/>
        <v>1601.0900000000001</v>
      </c>
      <c r="M63" s="2"/>
      <c r="N63" s="6">
        <f t="shared" si="15"/>
        <v>0.19978263473651639</v>
      </c>
      <c r="O63" s="14"/>
      <c r="P63" s="2">
        <f>SUM(OSRRefP22_1x_0)</f>
        <v>81076.990000000005</v>
      </c>
      <c r="Q63" s="2"/>
      <c r="R63" s="6">
        <f t="shared" si="16"/>
        <v>6.2666929452944942E-2</v>
      </c>
      <c r="S63" s="2"/>
      <c r="T63" s="2">
        <f>SUM(OSRRefT22_1x_0)</f>
        <v>65405.46</v>
      </c>
      <c r="U63" s="2"/>
      <c r="V63" s="6">
        <f t="shared" si="17"/>
        <v>4.112332244683211E-2</v>
      </c>
      <c r="W63" s="2"/>
      <c r="X63" s="2">
        <f t="shared" si="18"/>
        <v>15671.530000000006</v>
      </c>
      <c r="Y63" s="2"/>
      <c r="Z63" s="6">
        <f t="shared" si="19"/>
        <v>0.23960583718851616</v>
      </c>
    </row>
    <row r="64" spans="1:26" s="69" customFormat="1" ht="15" hidden="1" customHeight="1" outlineLevel="2" x14ac:dyDescent="0.3">
      <c r="A64" s="26"/>
      <c r="B64" s="12" t="str">
        <f>CONCATENATE("          ","6002"," - ","STAFF SALARIES")</f>
        <v xml:space="preserve">          6002 - STAFF SALARIES</v>
      </c>
      <c r="C64" s="12"/>
      <c r="D64" s="8">
        <v>1700</v>
      </c>
      <c r="E64" s="3"/>
      <c r="F64" s="7">
        <f t="shared" si="12"/>
        <v>9.9212584731194868E-3</v>
      </c>
      <c r="G64" s="3"/>
      <c r="H64" s="8">
        <v>2357.3000000000002</v>
      </c>
      <c r="I64" s="3"/>
      <c r="J64" s="7">
        <f t="shared" si="13"/>
        <v>1.2678095292184837E-2</v>
      </c>
      <c r="K64" s="3"/>
      <c r="L64" s="8">
        <f t="shared" si="14"/>
        <v>-657.30000000000018</v>
      </c>
      <c r="M64" s="3"/>
      <c r="N64" s="7">
        <f t="shared" si="15"/>
        <v>-0.27883595639078612</v>
      </c>
      <c r="O64" s="12"/>
      <c r="P64" s="8">
        <v>14952.94</v>
      </c>
      <c r="Q64" s="3"/>
      <c r="R64" s="7">
        <f t="shared" si="16"/>
        <v>1.1557592802768314E-2</v>
      </c>
      <c r="S64" s="3"/>
      <c r="T64" s="8">
        <v>18522.95</v>
      </c>
      <c r="U64" s="3"/>
      <c r="V64" s="7">
        <f t="shared" si="17"/>
        <v>1.164620271024084E-2</v>
      </c>
      <c r="W64" s="3"/>
      <c r="X64" s="8">
        <f t="shared" si="18"/>
        <v>-3570.01</v>
      </c>
      <c r="Y64" s="3"/>
      <c r="Z64" s="7">
        <f t="shared" si="19"/>
        <v>-0.19273441865361621</v>
      </c>
    </row>
    <row r="65" spans="1:26" s="69" customFormat="1" ht="15" hidden="1" customHeight="1" outlineLevel="2" x14ac:dyDescent="0.3">
      <c r="A65" s="26"/>
      <c r="B65" s="12" t="str">
        <f>CONCATENATE("          ","6004"," - ","STAFF HOURLY")</f>
        <v xml:space="preserve">          6004 - STAFF HOURLY</v>
      </c>
      <c r="C65" s="12"/>
      <c r="D65" s="8">
        <v>4089.69</v>
      </c>
      <c r="E65" s="3"/>
      <c r="F65" s="7">
        <f t="shared" si="12"/>
        <v>2.3867571508783551E-2</v>
      </c>
      <c r="G65" s="3"/>
      <c r="H65" s="8">
        <v>3520</v>
      </c>
      <c r="I65" s="3"/>
      <c r="J65" s="7">
        <f t="shared" si="13"/>
        <v>1.8931360212315201E-2</v>
      </c>
      <c r="K65" s="3"/>
      <c r="L65" s="8">
        <f t="shared" si="14"/>
        <v>569.69000000000005</v>
      </c>
      <c r="M65" s="3"/>
      <c r="N65" s="7">
        <f t="shared" si="15"/>
        <v>0.16184375000000001</v>
      </c>
      <c r="O65" s="12"/>
      <c r="P65" s="8">
        <v>24983.15</v>
      </c>
      <c r="Q65" s="3"/>
      <c r="R65" s="7">
        <f t="shared" si="16"/>
        <v>1.9310254346669029E-2</v>
      </c>
      <c r="S65" s="3"/>
      <c r="T65" s="8">
        <v>28200.16</v>
      </c>
      <c r="U65" s="3"/>
      <c r="V65" s="7">
        <f t="shared" si="17"/>
        <v>1.7730695154995577E-2</v>
      </c>
      <c r="W65" s="3"/>
      <c r="X65" s="8">
        <f t="shared" si="18"/>
        <v>-3217.0099999999984</v>
      </c>
      <c r="Y65" s="3"/>
      <c r="Z65" s="7">
        <f t="shared" si="19"/>
        <v>-0.11407772154484225</v>
      </c>
    </row>
    <row r="66" spans="1:26" s="69" customFormat="1" ht="15" hidden="1" customHeight="1" outlineLevel="2" x14ac:dyDescent="0.3">
      <c r="A66" s="26"/>
      <c r="B66" s="12" t="str">
        <f>CONCATENATE("          ","6005"," - ","TEMPORARY WAGES-HOURLY")</f>
        <v xml:space="preserve">          6005 - TEMPORARY WAGES-HOURLY</v>
      </c>
      <c r="C66" s="12"/>
      <c r="D66" s="8">
        <v>2308.37</v>
      </c>
      <c r="E66" s="3"/>
      <c r="F66" s="7">
        <f t="shared" si="12"/>
        <v>1.3471726718585195E-2</v>
      </c>
      <c r="G66" s="3"/>
      <c r="H66" s="8"/>
      <c r="I66" s="3"/>
      <c r="J66" s="7">
        <f t="shared" si="13"/>
        <v>0</v>
      </c>
      <c r="K66" s="3"/>
      <c r="L66" s="8">
        <f t="shared" si="14"/>
        <v>2308.37</v>
      </c>
      <c r="M66" s="3"/>
      <c r="N66" s="7">
        <f t="shared" si="15"/>
        <v>0</v>
      </c>
      <c r="O66" s="12"/>
      <c r="P66" s="8">
        <v>10542.18</v>
      </c>
      <c r="Q66" s="3"/>
      <c r="R66" s="7">
        <f t="shared" si="16"/>
        <v>8.1483790942442121E-3</v>
      </c>
      <c r="S66" s="3"/>
      <c r="T66" s="8"/>
      <c r="U66" s="3"/>
      <c r="V66" s="7">
        <f t="shared" si="17"/>
        <v>0</v>
      </c>
      <c r="W66" s="3"/>
      <c r="X66" s="8">
        <f t="shared" si="18"/>
        <v>10542.18</v>
      </c>
      <c r="Y66" s="3"/>
      <c r="Z66" s="7">
        <f t="shared" si="19"/>
        <v>0</v>
      </c>
    </row>
    <row r="67" spans="1:26" s="69" customFormat="1" ht="15" hidden="1" customHeight="1" outlineLevel="2" x14ac:dyDescent="0.3">
      <c r="A67" s="26"/>
      <c r="B67" s="12" t="str">
        <f>CONCATENATE("          ","6007"," - ","STUDENT HOURLY")</f>
        <v xml:space="preserve">          6007 - STUDENT HOURLY</v>
      </c>
      <c r="C67" s="12"/>
      <c r="D67" s="8">
        <v>1517.19</v>
      </c>
      <c r="E67" s="3"/>
      <c r="F67" s="7">
        <f t="shared" si="12"/>
        <v>8.8543730251953862E-3</v>
      </c>
      <c r="G67" s="3"/>
      <c r="H67" s="8">
        <v>2136.86</v>
      </c>
      <c r="I67" s="3"/>
      <c r="J67" s="7">
        <f t="shared" si="13"/>
        <v>1.1492518858888598E-2</v>
      </c>
      <c r="K67" s="3"/>
      <c r="L67" s="8">
        <f t="shared" si="14"/>
        <v>-619.67000000000007</v>
      </c>
      <c r="M67" s="3"/>
      <c r="N67" s="7">
        <f t="shared" si="15"/>
        <v>-0.2899909212582949</v>
      </c>
      <c r="O67" s="12"/>
      <c r="P67" s="8">
        <v>24453.09</v>
      </c>
      <c r="Q67" s="3"/>
      <c r="R67" s="7">
        <f t="shared" si="16"/>
        <v>1.8900554472193815E-2</v>
      </c>
      <c r="S67" s="3"/>
      <c r="T67" s="8">
        <v>18682.349999999999</v>
      </c>
      <c r="U67" s="3"/>
      <c r="V67" s="7">
        <f t="shared" si="17"/>
        <v>1.1746424581595692E-2</v>
      </c>
      <c r="W67" s="3"/>
      <c r="X67" s="8">
        <f t="shared" si="18"/>
        <v>5770.7400000000016</v>
      </c>
      <c r="Y67" s="3"/>
      <c r="Z67" s="7">
        <f t="shared" si="19"/>
        <v>0.30888726525303306</v>
      </c>
    </row>
    <row r="68" spans="1:26" s="69" customFormat="1" ht="15" hidden="1" customHeight="1" outlineLevel="2" x14ac:dyDescent="0.3">
      <c r="A68" s="26"/>
      <c r="B68" s="12" t="str">
        <f>CONCATENATE("          ","6008"," - ","STUDENT HOURLY-FICA EXEMPT")</f>
        <v xml:space="preserve">          6008 - STUDENT HOURLY-FICA EXEMPT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>
        <v>6145.63</v>
      </c>
      <c r="Q68" s="3"/>
      <c r="R68" s="7">
        <f t="shared" si="16"/>
        <v>4.7501487370695678E-3</v>
      </c>
      <c r="S68" s="3"/>
      <c r="T68" s="8"/>
      <c r="U68" s="3"/>
      <c r="V68" s="7">
        <f t="shared" si="17"/>
        <v>0</v>
      </c>
      <c r="W68" s="3"/>
      <c r="X68" s="8">
        <f t="shared" si="18"/>
        <v>6145.63</v>
      </c>
      <c r="Y68" s="3"/>
      <c r="Z68" s="7">
        <f t="shared" si="19"/>
        <v>0</v>
      </c>
    </row>
    <row r="69" spans="1:26" s="68" customFormat="1" ht="15" customHeight="1" outlineLevel="1" collapsed="1" x14ac:dyDescent="0.3">
      <c r="A69" s="25"/>
      <c r="B69" s="14" t="str">
        <f>CONCATENATE("     ","Advertising/Promo                                 ")</f>
        <v xml:space="preserve">     Advertising/Promo                                 </v>
      </c>
      <c r="C69" s="14"/>
      <c r="D69" s="2">
        <f>SUM(OSRRefD22_2x_0)</f>
        <v>30.19</v>
      </c>
      <c r="E69" s="2"/>
      <c r="F69" s="6">
        <f t="shared" si="12"/>
        <v>1.7618987841381021E-4</v>
      </c>
      <c r="G69" s="2"/>
      <c r="H69" s="2">
        <f>SUM(OSRRefH22_2x_0)</f>
        <v>0</v>
      </c>
      <c r="I69" s="2"/>
      <c r="J69" s="6">
        <f t="shared" si="13"/>
        <v>0</v>
      </c>
      <c r="K69" s="2"/>
      <c r="L69" s="2">
        <f t="shared" si="14"/>
        <v>30.19</v>
      </c>
      <c r="M69" s="2"/>
      <c r="N69" s="6">
        <f t="shared" si="15"/>
        <v>0</v>
      </c>
      <c r="O69" s="14"/>
      <c r="P69" s="2">
        <f>SUM(OSRRefP22_2x_0)</f>
        <v>176.99</v>
      </c>
      <c r="Q69" s="2"/>
      <c r="R69" s="6">
        <f t="shared" si="16"/>
        <v>1.3680108060100315E-4</v>
      </c>
      <c r="S69" s="2"/>
      <c r="T69" s="2">
        <f>SUM(OSRRefT22_2x_0)</f>
        <v>598.92999999999995</v>
      </c>
      <c r="U69" s="2"/>
      <c r="V69" s="6">
        <f t="shared" si="17"/>
        <v>3.7657393607630241E-4</v>
      </c>
      <c r="W69" s="2"/>
      <c r="X69" s="2">
        <f t="shared" si="18"/>
        <v>-421.93999999999994</v>
      </c>
      <c r="Y69" s="2"/>
      <c r="Z69" s="6">
        <f t="shared" si="19"/>
        <v>-0.70448967325063028</v>
      </c>
    </row>
    <row r="70" spans="1:26" s="69" customFormat="1" ht="15" hidden="1" customHeight="1" outlineLevel="2" x14ac:dyDescent="0.3">
      <c r="A70" s="26"/>
      <c r="B70" s="12" t="str">
        <f>CONCATENATE("          ","6362"," - ","ADVERTISING EXPENSE")</f>
        <v xml:space="preserve">          6362 - ADVERTISING EXPENSE</v>
      </c>
      <c r="C70" s="12"/>
      <c r="D70" s="8">
        <v>30.19</v>
      </c>
      <c r="E70" s="3"/>
      <c r="F70" s="7">
        <f t="shared" si="12"/>
        <v>1.7618987841381021E-4</v>
      </c>
      <c r="G70" s="3"/>
      <c r="H70" s="8"/>
      <c r="I70" s="3"/>
      <c r="J70" s="7">
        <f t="shared" si="13"/>
        <v>0</v>
      </c>
      <c r="K70" s="3"/>
      <c r="L70" s="8">
        <f t="shared" si="14"/>
        <v>30.19</v>
      </c>
      <c r="M70" s="3"/>
      <c r="N70" s="7">
        <f t="shared" si="15"/>
        <v>0</v>
      </c>
      <c r="O70" s="12"/>
      <c r="P70" s="8">
        <v>176.99</v>
      </c>
      <c r="Q70" s="3"/>
      <c r="R70" s="7">
        <f t="shared" si="16"/>
        <v>1.3680108060100315E-4</v>
      </c>
      <c r="S70" s="3"/>
      <c r="T70" s="8">
        <v>598.92999999999995</v>
      </c>
      <c r="U70" s="3"/>
      <c r="V70" s="7">
        <f t="shared" si="17"/>
        <v>3.7657393607630241E-4</v>
      </c>
      <c r="W70" s="3"/>
      <c r="X70" s="8">
        <f t="shared" si="18"/>
        <v>-421.93999999999994</v>
      </c>
      <c r="Y70" s="3"/>
      <c r="Z70" s="7">
        <f t="shared" si="19"/>
        <v>-0.70448967325063028</v>
      </c>
    </row>
    <row r="71" spans="1:26" s="68" customFormat="1" ht="15" customHeight="1" outlineLevel="1" collapsed="1" x14ac:dyDescent="0.3">
      <c r="A71" s="25"/>
      <c r="B71" s="14" t="str">
        <f>CONCATENATE("     ","Depreciation                                      ")</f>
        <v xml:space="preserve">     Depreciation                                      </v>
      </c>
      <c r="C71" s="14"/>
      <c r="D71" s="2">
        <f>SUM(OSRRefD22_3x_0)</f>
        <v>280.44</v>
      </c>
      <c r="E71" s="2"/>
      <c r="F71" s="6">
        <f t="shared" si="12"/>
        <v>1.6366574860009584E-3</v>
      </c>
      <c r="G71" s="2"/>
      <c r="H71" s="2">
        <f>SUM(OSRRefH22_3x_0)</f>
        <v>280.44</v>
      </c>
      <c r="I71" s="2"/>
      <c r="J71" s="6">
        <f t="shared" si="13"/>
        <v>1.5082700732788851E-3</v>
      </c>
      <c r="K71" s="2"/>
      <c r="L71" s="2">
        <f t="shared" si="14"/>
        <v>0</v>
      </c>
      <c r="M71" s="2"/>
      <c r="N71" s="6">
        <f t="shared" si="15"/>
        <v>0</v>
      </c>
      <c r="O71" s="14"/>
      <c r="P71" s="2">
        <f>SUM(OSRRefP22_3x_0)</f>
        <v>2243.52</v>
      </c>
      <c r="Q71" s="2"/>
      <c r="R71" s="6">
        <f t="shared" si="16"/>
        <v>1.7340864475391972E-3</v>
      </c>
      <c r="S71" s="2"/>
      <c r="T71" s="2">
        <f>SUM(OSRRefT22_3x_0)</f>
        <v>2243.52</v>
      </c>
      <c r="U71" s="2"/>
      <c r="V71" s="6">
        <f t="shared" si="17"/>
        <v>1.4106008332624947E-3</v>
      </c>
      <c r="W71" s="2"/>
      <c r="X71" s="2">
        <f t="shared" si="18"/>
        <v>0</v>
      </c>
      <c r="Y71" s="2"/>
      <c r="Z71" s="6">
        <f t="shared" si="19"/>
        <v>0</v>
      </c>
    </row>
    <row r="72" spans="1:26" s="69" customFormat="1" ht="15" hidden="1" customHeight="1" outlineLevel="2" x14ac:dyDescent="0.3">
      <c r="A72" s="26"/>
      <c r="B72" s="12" t="str">
        <f>CONCATENATE("          ","6322"," - ","EQUIPMENT DEPRECIATION EXPENSE")</f>
        <v xml:space="preserve">          6322 - EQUIPMENT DEPRECIATION EXPENSE</v>
      </c>
      <c r="C72" s="12"/>
      <c r="D72" s="8">
        <v>280.44</v>
      </c>
      <c r="E72" s="3"/>
      <c r="F72" s="7">
        <f t="shared" si="12"/>
        <v>1.6366574860009584E-3</v>
      </c>
      <c r="G72" s="3"/>
      <c r="H72" s="8">
        <v>280.44</v>
      </c>
      <c r="I72" s="3"/>
      <c r="J72" s="7">
        <f t="shared" si="13"/>
        <v>1.5082700732788851E-3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>
        <v>2243.52</v>
      </c>
      <c r="Q72" s="3"/>
      <c r="R72" s="7">
        <f t="shared" si="16"/>
        <v>1.7340864475391972E-3</v>
      </c>
      <c r="S72" s="3"/>
      <c r="T72" s="8">
        <v>2243.52</v>
      </c>
      <c r="U72" s="3"/>
      <c r="V72" s="7">
        <f t="shared" si="17"/>
        <v>1.4106008332624947E-3</v>
      </c>
      <c r="W72" s="3"/>
      <c r="X72" s="8">
        <f t="shared" si="18"/>
        <v>0</v>
      </c>
      <c r="Y72" s="3"/>
      <c r="Z72" s="7">
        <f t="shared" si="19"/>
        <v>0</v>
      </c>
    </row>
    <row r="73" spans="1:26" s="68" customFormat="1" ht="15" customHeight="1" outlineLevel="1" collapsed="1" x14ac:dyDescent="0.3">
      <c r="A73" s="25"/>
      <c r="B73" s="14" t="str">
        <f>CONCATENATE("     ","Discounts and Markdowns                           ")</f>
        <v xml:space="preserve">     Discounts and Markdowns                           </v>
      </c>
      <c r="C73" s="14"/>
      <c r="D73" s="2">
        <f>SUM(OSRRefD22_4x_0)</f>
        <v>0</v>
      </c>
      <c r="E73" s="2"/>
      <c r="F73" s="6">
        <f t="shared" si="12"/>
        <v>0</v>
      </c>
      <c r="G73" s="2"/>
      <c r="H73" s="2">
        <f>SUM(OSRRefH22_4x_0)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SUM(OSRRefP22_4x_0)</f>
        <v>0</v>
      </c>
      <c r="Q73" s="2"/>
      <c r="R73" s="6">
        <f t="shared" si="16"/>
        <v>0</v>
      </c>
      <c r="S73" s="2"/>
      <c r="T73" s="2">
        <f>SUM(OSRRefT22_4x_0)</f>
        <v>0</v>
      </c>
      <c r="U73" s="2"/>
      <c r="V73" s="6">
        <f t="shared" si="17"/>
        <v>0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","6382"," - ","DISCOUNTS/MARK DOWNS")</f>
        <v xml:space="preserve">          6382 - DISCOUNTS/MARK DOWNS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","Freight out/Postage                               ")</f>
        <v xml:space="preserve">     Freight out/Postage                               </v>
      </c>
      <c r="C75" s="14"/>
      <c r="D75" s="2">
        <f>SUM(OSRRefD22_5x_0)</f>
        <v>0</v>
      </c>
      <c r="E75" s="2"/>
      <c r="F75" s="6">
        <f t="shared" si="12"/>
        <v>0</v>
      </c>
      <c r="G75" s="2"/>
      <c r="H75" s="2">
        <f>SUM(OSRRefH22_5x_0)</f>
        <v>88.22</v>
      </c>
      <c r="I75" s="2"/>
      <c r="J75" s="6">
        <f t="shared" si="13"/>
        <v>4.7446721532114975E-4</v>
      </c>
      <c r="K75" s="2"/>
      <c r="L75" s="2">
        <f t="shared" si="14"/>
        <v>-88.22</v>
      </c>
      <c r="M75" s="2"/>
      <c r="N75" s="6">
        <f t="shared" si="15"/>
        <v>-1</v>
      </c>
      <c r="O75" s="14"/>
      <c r="P75" s="2">
        <f>SUM(OSRRefP22_5x_0)</f>
        <v>122.13</v>
      </c>
      <c r="Q75" s="2"/>
      <c r="R75" s="6">
        <f t="shared" si="16"/>
        <v>9.4398078839485341E-5</v>
      </c>
      <c r="S75" s="2"/>
      <c r="T75" s="2">
        <f>SUM(OSRRefT22_5x_0)</f>
        <v>1082.33</v>
      </c>
      <c r="U75" s="2"/>
      <c r="V75" s="6">
        <f t="shared" si="17"/>
        <v>6.8050902147740865E-4</v>
      </c>
      <c r="W75" s="2"/>
      <c r="X75" s="2">
        <f t="shared" si="18"/>
        <v>-960.19999999999993</v>
      </c>
      <c r="Y75" s="2"/>
      <c r="Z75" s="6">
        <f t="shared" si="19"/>
        <v>-0.88716010828490388</v>
      </c>
    </row>
    <row r="76" spans="1:26" s="69" customFormat="1" ht="15" hidden="1" customHeight="1" outlineLevel="2" x14ac:dyDescent="0.3">
      <c r="A76" s="26"/>
      <c r="B76" s="12" t="str">
        <f>CONCATENATE("          ","6305"," - ","FREIGHT OUT")</f>
        <v xml:space="preserve">          6305 - FREIGHT OUT</v>
      </c>
      <c r="C76" s="12"/>
      <c r="D76" s="8"/>
      <c r="E76" s="3"/>
      <c r="F76" s="7">
        <f t="shared" si="12"/>
        <v>0</v>
      </c>
      <c r="G76" s="3"/>
      <c r="H76" s="8">
        <v>88.22</v>
      </c>
      <c r="I76" s="3"/>
      <c r="J76" s="7">
        <f t="shared" si="13"/>
        <v>4.7446721532114975E-4</v>
      </c>
      <c r="K76" s="3"/>
      <c r="L76" s="8">
        <f t="shared" si="14"/>
        <v>-88.22</v>
      </c>
      <c r="M76" s="3"/>
      <c r="N76" s="7">
        <f t="shared" si="15"/>
        <v>-1</v>
      </c>
      <c r="O76" s="12"/>
      <c r="P76" s="8">
        <v>122.13</v>
      </c>
      <c r="Q76" s="3"/>
      <c r="R76" s="7">
        <f t="shared" si="16"/>
        <v>9.4398078839485341E-5</v>
      </c>
      <c r="S76" s="3"/>
      <c r="T76" s="8">
        <v>1069.73</v>
      </c>
      <c r="U76" s="3"/>
      <c r="V76" s="7">
        <f t="shared" si="17"/>
        <v>6.725868409311656E-4</v>
      </c>
      <c r="W76" s="3"/>
      <c r="X76" s="8">
        <f t="shared" si="18"/>
        <v>-947.6</v>
      </c>
      <c r="Y76" s="3"/>
      <c r="Z76" s="7">
        <f t="shared" si="19"/>
        <v>-0.88583100408514304</v>
      </c>
    </row>
    <row r="77" spans="1:26" s="69" customFormat="1" ht="15" hidden="1" customHeight="1" outlineLevel="2" x14ac:dyDescent="0.3">
      <c r="A77" s="26"/>
      <c r="B77" s="12" t="str">
        <f>CONCATENATE("          ","6307"," - ","POSTAGE")</f>
        <v xml:space="preserve">          6307 - POSTAGE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12.6</v>
      </c>
      <c r="U77" s="3"/>
      <c r="V77" s="7">
        <f t="shared" si="17"/>
        <v>7.9221805462431506E-6</v>
      </c>
      <c r="W77" s="3"/>
      <c r="X77" s="8">
        <f t="shared" si="18"/>
        <v>-12.6</v>
      </c>
      <c r="Y77" s="3"/>
      <c r="Z77" s="7">
        <f t="shared" si="19"/>
        <v>-1</v>
      </c>
    </row>
    <row r="78" spans="1:26" s="68" customFormat="1" ht="15" customHeight="1" outlineLevel="1" collapsed="1" x14ac:dyDescent="0.3">
      <c r="A78" s="25"/>
      <c r="B78" s="14" t="str">
        <f>CONCATENATE("     ","General                                           ")</f>
        <v xml:space="preserve">     General                                           </v>
      </c>
      <c r="C78" s="14"/>
      <c r="D78" s="2">
        <f>SUM(OSRRefD22_6x_0)</f>
        <v>0</v>
      </c>
      <c r="E78" s="2"/>
      <c r="F78" s="6">
        <f t="shared" si="12"/>
        <v>0</v>
      </c>
      <c r="G78" s="2"/>
      <c r="H78" s="2">
        <f>SUM(OSRRefH22_6x_0)</f>
        <v>0</v>
      </c>
      <c r="I78" s="2"/>
      <c r="J78" s="6">
        <f t="shared" si="13"/>
        <v>0</v>
      </c>
      <c r="K78" s="2"/>
      <c r="L78" s="2">
        <f t="shared" si="14"/>
        <v>0</v>
      </c>
      <c r="M78" s="2"/>
      <c r="N78" s="6">
        <f t="shared" si="15"/>
        <v>0</v>
      </c>
      <c r="O78" s="14"/>
      <c r="P78" s="2">
        <f>SUM(OSRRefP22_6x_0)</f>
        <v>0</v>
      </c>
      <c r="Q78" s="2"/>
      <c r="R78" s="6">
        <f t="shared" si="16"/>
        <v>0</v>
      </c>
      <c r="S78" s="2"/>
      <c r="T78" s="2">
        <f>SUM(OSRRefT22_6x_0)</f>
        <v>-30.15</v>
      </c>
      <c r="U78" s="2"/>
      <c r="V78" s="6">
        <f t="shared" si="17"/>
        <v>-1.8956646307081827E-5</v>
      </c>
      <c r="W78" s="2"/>
      <c r="X78" s="2">
        <f t="shared" si="18"/>
        <v>30.15</v>
      </c>
      <c r="Y78" s="2"/>
      <c r="Z78" s="6">
        <f t="shared" si="19"/>
        <v>-1</v>
      </c>
    </row>
    <row r="79" spans="1:26" s="69" customFormat="1" ht="15" hidden="1" customHeight="1" outlineLevel="2" x14ac:dyDescent="0.3">
      <c r="A79" s="26"/>
      <c r="B79" s="12" t="str">
        <f>CONCATENATE("          ","6279"," - ","GENERAL EXPENSE")</f>
        <v xml:space="preserve">          6279 - GENERAL EXPENSE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-30.15</v>
      </c>
      <c r="U79" s="3"/>
      <c r="V79" s="7">
        <f t="shared" si="17"/>
        <v>-1.8956646307081827E-5</v>
      </c>
      <c r="W79" s="3"/>
      <c r="X79" s="8">
        <f t="shared" si="18"/>
        <v>30.15</v>
      </c>
      <c r="Y79" s="3"/>
      <c r="Z79" s="7">
        <f t="shared" si="19"/>
        <v>-1</v>
      </c>
    </row>
    <row r="80" spans="1:26" s="68" customFormat="1" ht="15" customHeight="1" outlineLevel="1" collapsed="1" x14ac:dyDescent="0.3">
      <c r="A80" s="25"/>
      <c r="B80" s="14" t="str">
        <f>CONCATENATE("     ","Inventory Adjustment                              ")</f>
        <v xml:space="preserve">     Inventory Adjustment                              </v>
      </c>
      <c r="C80" s="14"/>
      <c r="D80" s="2">
        <f>SUM(OSRRefD22_7x_0)</f>
        <v>590</v>
      </c>
      <c r="E80" s="2"/>
      <c r="F80" s="6">
        <f t="shared" si="12"/>
        <v>3.4432602936120575E-3</v>
      </c>
      <c r="G80" s="2"/>
      <c r="H80" s="2">
        <f>SUM(OSRRefH22_7x_0)</f>
        <v>1250</v>
      </c>
      <c r="I80" s="2"/>
      <c r="J80" s="6">
        <f t="shared" si="13"/>
        <v>6.7227841663051145E-3</v>
      </c>
      <c r="K80" s="2"/>
      <c r="L80" s="2">
        <f t="shared" si="14"/>
        <v>-660</v>
      </c>
      <c r="M80" s="2"/>
      <c r="N80" s="6">
        <f t="shared" si="15"/>
        <v>-0.52800000000000002</v>
      </c>
      <c r="O80" s="14"/>
      <c r="P80" s="2">
        <f>SUM(OSRRefP22_7x_0)</f>
        <v>7200</v>
      </c>
      <c r="Q80" s="2"/>
      <c r="R80" s="6">
        <f t="shared" si="16"/>
        <v>5.5651041320256651E-3</v>
      </c>
      <c r="S80" s="2"/>
      <c r="T80" s="2">
        <f>SUM(OSRRefT22_7x_0)</f>
        <v>10000</v>
      </c>
      <c r="U80" s="2"/>
      <c r="V80" s="6">
        <f t="shared" si="17"/>
        <v>6.2874448779707548E-3</v>
      </c>
      <c r="W80" s="2"/>
      <c r="X80" s="2">
        <f t="shared" si="18"/>
        <v>-2800</v>
      </c>
      <c r="Y80" s="2"/>
      <c r="Z80" s="6">
        <f t="shared" si="19"/>
        <v>-0.28000000000000003</v>
      </c>
    </row>
    <row r="81" spans="1:26" s="69" customFormat="1" ht="15" hidden="1" customHeight="1" outlineLevel="2" x14ac:dyDescent="0.3">
      <c r="A81" s="26"/>
      <c r="B81" s="12" t="str">
        <f>CONCATENATE("          ","6408"," - ","INVENTORY ADJUSTMENT")</f>
        <v xml:space="preserve">          6408 - INVENTORY ADJUSTMENT</v>
      </c>
      <c r="C81" s="12"/>
      <c r="D81" s="8">
        <v>590</v>
      </c>
      <c r="E81" s="3"/>
      <c r="F81" s="7">
        <f t="shared" si="12"/>
        <v>3.4432602936120575E-3</v>
      </c>
      <c r="G81" s="3"/>
      <c r="H81" s="8">
        <v>1250</v>
      </c>
      <c r="I81" s="3"/>
      <c r="J81" s="7">
        <f t="shared" si="13"/>
        <v>6.7227841663051145E-3</v>
      </c>
      <c r="K81" s="3"/>
      <c r="L81" s="8">
        <f t="shared" si="14"/>
        <v>-660</v>
      </c>
      <c r="M81" s="3"/>
      <c r="N81" s="7">
        <f t="shared" si="15"/>
        <v>-0.52800000000000002</v>
      </c>
      <c r="O81" s="12"/>
      <c r="P81" s="8">
        <v>7200</v>
      </c>
      <c r="Q81" s="3"/>
      <c r="R81" s="7">
        <f t="shared" si="16"/>
        <v>5.5651041320256651E-3</v>
      </c>
      <c r="S81" s="3"/>
      <c r="T81" s="8">
        <v>10000</v>
      </c>
      <c r="U81" s="3"/>
      <c r="V81" s="7">
        <f t="shared" si="17"/>
        <v>6.2874448779707548E-3</v>
      </c>
      <c r="W81" s="3"/>
      <c r="X81" s="8">
        <f t="shared" si="18"/>
        <v>-2800</v>
      </c>
      <c r="Y81" s="3"/>
      <c r="Z81" s="7">
        <f t="shared" si="19"/>
        <v>-0.28000000000000003</v>
      </c>
    </row>
    <row r="82" spans="1:26" s="68" customFormat="1" ht="15" customHeight="1" outlineLevel="1" collapsed="1" x14ac:dyDescent="0.3">
      <c r="A82" s="25"/>
      <c r="B82" s="14" t="str">
        <f>CONCATENATE("     ","Supplies                                          ")</f>
        <v xml:space="preserve">     Supplies                                          </v>
      </c>
      <c r="C82" s="14"/>
      <c r="D82" s="2">
        <f>SUM(OSRRefD22_8x_0)</f>
        <v>63.25</v>
      </c>
      <c r="E82" s="2"/>
      <c r="F82" s="6">
        <f t="shared" si="12"/>
        <v>3.6912917554400446E-4</v>
      </c>
      <c r="G82" s="2"/>
      <c r="H82" s="2">
        <f>SUM(OSRRefH22_8x_0)</f>
        <v>8.74</v>
      </c>
      <c r="I82" s="2"/>
      <c r="J82" s="6">
        <f t="shared" si="13"/>
        <v>4.700570689080536E-5</v>
      </c>
      <c r="K82" s="2"/>
      <c r="L82" s="2">
        <f t="shared" si="14"/>
        <v>54.51</v>
      </c>
      <c r="M82" s="2"/>
      <c r="N82" s="6">
        <f t="shared" si="15"/>
        <v>6.2368421052631575</v>
      </c>
      <c r="O82" s="14"/>
      <c r="P82" s="2">
        <f>SUM(OSRRefP22_8x_0)</f>
        <v>3381.75</v>
      </c>
      <c r="Q82" s="2"/>
      <c r="R82" s="6">
        <f t="shared" si="16"/>
        <v>2.6138598470108049E-3</v>
      </c>
      <c r="S82" s="2"/>
      <c r="T82" s="2">
        <f>SUM(OSRRefT22_8x_0)</f>
        <v>2078.6</v>
      </c>
      <c r="U82" s="2"/>
      <c r="V82" s="6">
        <f t="shared" si="17"/>
        <v>1.3069082923350011E-3</v>
      </c>
      <c r="W82" s="2"/>
      <c r="X82" s="2">
        <f t="shared" si="18"/>
        <v>1303.1500000000001</v>
      </c>
      <c r="Y82" s="2"/>
      <c r="Z82" s="6">
        <f t="shared" si="19"/>
        <v>0.62693639949966329</v>
      </c>
    </row>
    <row r="83" spans="1:26" s="69" customFormat="1" ht="15" hidden="1" customHeight="1" outlineLevel="2" x14ac:dyDescent="0.3">
      <c r="A83" s="26"/>
      <c r="B83" s="12" t="str">
        <f>CONCATENATE("          ","6235"," - ","COVID-19 EXPENSES")</f>
        <v xml:space="preserve">          6235 - COVID-19 EXPENSES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/>
      <c r="Q83" s="3"/>
      <c r="R83" s="7">
        <f t="shared" si="16"/>
        <v>0</v>
      </c>
      <c r="S83" s="3"/>
      <c r="T83" s="8">
        <v>668.12</v>
      </c>
      <c r="U83" s="3"/>
      <c r="V83" s="7">
        <f t="shared" si="17"/>
        <v>4.200767671869821E-4</v>
      </c>
      <c r="W83" s="3"/>
      <c r="X83" s="8">
        <f t="shared" si="18"/>
        <v>-668.12</v>
      </c>
      <c r="Y83" s="3"/>
      <c r="Z83" s="7">
        <f t="shared" si="19"/>
        <v>-1</v>
      </c>
    </row>
    <row r="84" spans="1:26" s="69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8">
        <v>63.25</v>
      </c>
      <c r="E84" s="3"/>
      <c r="F84" s="7">
        <f t="shared" si="12"/>
        <v>3.6912917554400446E-4</v>
      </c>
      <c r="G84" s="3"/>
      <c r="H84" s="8">
        <v>8.74</v>
      </c>
      <c r="I84" s="3"/>
      <c r="J84" s="7">
        <f t="shared" si="13"/>
        <v>4.700570689080536E-5</v>
      </c>
      <c r="K84" s="3"/>
      <c r="L84" s="8">
        <f t="shared" si="14"/>
        <v>54.51</v>
      </c>
      <c r="M84" s="3"/>
      <c r="N84" s="7">
        <f t="shared" si="15"/>
        <v>6.2368421052631575</v>
      </c>
      <c r="O84" s="12"/>
      <c r="P84" s="8">
        <v>469.75</v>
      </c>
      <c r="Q84" s="3"/>
      <c r="R84" s="7">
        <f t="shared" si="16"/>
        <v>3.6308439805820229E-4</v>
      </c>
      <c r="S84" s="3"/>
      <c r="T84" s="8">
        <v>1410.48</v>
      </c>
      <c r="U84" s="3"/>
      <c r="V84" s="7">
        <f t="shared" si="17"/>
        <v>8.8683152514801907E-4</v>
      </c>
      <c r="W84" s="3"/>
      <c r="X84" s="8">
        <f t="shared" si="18"/>
        <v>-940.73</v>
      </c>
      <c r="Y84" s="3"/>
      <c r="Z84" s="7">
        <f t="shared" si="19"/>
        <v>-0.66695734785321314</v>
      </c>
    </row>
    <row r="85" spans="1:26" s="69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8"/>
      <c r="E85" s="3"/>
      <c r="F85" s="7">
        <f t="shared" si="12"/>
        <v>0</v>
      </c>
      <c r="G85" s="3"/>
      <c r="H85" s="8"/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>
        <v>2912</v>
      </c>
      <c r="Q85" s="3"/>
      <c r="R85" s="7">
        <f t="shared" si="16"/>
        <v>2.2507754489526025E-3</v>
      </c>
      <c r="S85" s="3"/>
      <c r="T85" s="8"/>
      <c r="U85" s="3"/>
      <c r="V85" s="7">
        <f t="shared" si="17"/>
        <v>0</v>
      </c>
      <c r="W85" s="3"/>
      <c r="X85" s="8">
        <f t="shared" si="18"/>
        <v>2912</v>
      </c>
      <c r="Y85" s="3"/>
      <c r="Z85" s="7">
        <f t="shared" si="19"/>
        <v>0</v>
      </c>
    </row>
    <row r="86" spans="1:26" s="68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SUM(OSRRefD22_9x_0)</f>
        <v>179.73</v>
      </c>
      <c r="E86" s="2"/>
      <c r="F86" s="6">
        <f t="shared" si="12"/>
        <v>1.0489104619845679E-3</v>
      </c>
      <c r="G86" s="2"/>
      <c r="H86" s="2">
        <f>SUM(OSRRefH22_9x_0)</f>
        <v>250.65</v>
      </c>
      <c r="I86" s="2"/>
      <c r="J86" s="6">
        <f t="shared" si="13"/>
        <v>1.3480526810275015E-3</v>
      </c>
      <c r="K86" s="2"/>
      <c r="L86" s="2">
        <f t="shared" si="14"/>
        <v>-70.920000000000016</v>
      </c>
      <c r="M86" s="2"/>
      <c r="N86" s="6">
        <f t="shared" si="15"/>
        <v>-0.28294434470377028</v>
      </c>
      <c r="O86" s="14"/>
      <c r="P86" s="2">
        <f>SUM(OSRRefP22_9x_0)</f>
        <v>1645.33</v>
      </c>
      <c r="Q86" s="2"/>
      <c r="R86" s="6">
        <f t="shared" si="16"/>
        <v>1.2717267752146927E-3</v>
      </c>
      <c r="S86" s="2"/>
      <c r="T86" s="2">
        <f>SUM(OSRRefT22_9x_0)</f>
        <v>2331.4</v>
      </c>
      <c r="U86" s="2"/>
      <c r="V86" s="6">
        <f t="shared" si="17"/>
        <v>1.4658548988501019E-3</v>
      </c>
      <c r="W86" s="2"/>
      <c r="X86" s="2">
        <f t="shared" si="18"/>
        <v>-686.07000000000016</v>
      </c>
      <c r="Y86" s="2"/>
      <c r="Z86" s="6">
        <f t="shared" si="19"/>
        <v>-0.29427382688513348</v>
      </c>
    </row>
    <row r="87" spans="1:26" s="69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179.73</v>
      </c>
      <c r="E87" s="3"/>
      <c r="F87" s="7">
        <f t="shared" si="12"/>
        <v>1.0489104619845679E-3</v>
      </c>
      <c r="G87" s="3"/>
      <c r="H87" s="8">
        <v>250.65</v>
      </c>
      <c r="I87" s="3"/>
      <c r="J87" s="7">
        <f t="shared" si="13"/>
        <v>1.3480526810275015E-3</v>
      </c>
      <c r="K87" s="3"/>
      <c r="L87" s="8">
        <f t="shared" si="14"/>
        <v>-70.920000000000016</v>
      </c>
      <c r="M87" s="3"/>
      <c r="N87" s="7">
        <f t="shared" si="15"/>
        <v>-0.28294434470377028</v>
      </c>
      <c r="O87" s="12"/>
      <c r="P87" s="8">
        <v>1645.33</v>
      </c>
      <c r="Q87" s="3"/>
      <c r="R87" s="7">
        <f t="shared" si="16"/>
        <v>1.2717267752146927E-3</v>
      </c>
      <c r="S87" s="3"/>
      <c r="T87" s="8">
        <v>2331.4</v>
      </c>
      <c r="U87" s="3"/>
      <c r="V87" s="7">
        <f t="shared" si="17"/>
        <v>1.4658548988501019E-3</v>
      </c>
      <c r="W87" s="3"/>
      <c r="X87" s="8">
        <f t="shared" si="18"/>
        <v>-686.07000000000016</v>
      </c>
      <c r="Y87" s="3"/>
      <c r="Z87" s="7">
        <f t="shared" si="19"/>
        <v>-0.29427382688513348</v>
      </c>
    </row>
    <row r="88" spans="1:26" s="68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SUM(OSRRefD22_10x_0)</f>
        <v>0</v>
      </c>
      <c r="E88" s="2"/>
      <c r="F88" s="6">
        <f t="shared" si="12"/>
        <v>0</v>
      </c>
      <c r="G88" s="2"/>
      <c r="H88" s="2">
        <f>SUM(OSRRefH22_10x_0)</f>
        <v>0</v>
      </c>
      <c r="I88" s="2"/>
      <c r="J88" s="6">
        <f t="shared" si="13"/>
        <v>0</v>
      </c>
      <c r="K88" s="2"/>
      <c r="L88" s="2">
        <f t="shared" si="14"/>
        <v>0</v>
      </c>
      <c r="M88" s="2"/>
      <c r="N88" s="6">
        <f t="shared" si="15"/>
        <v>0</v>
      </c>
      <c r="O88" s="14"/>
      <c r="P88" s="2">
        <f>SUM(OSRRefP22_10x_0)</f>
        <v>0</v>
      </c>
      <c r="Q88" s="2"/>
      <c r="R88" s="6">
        <f t="shared" si="16"/>
        <v>0</v>
      </c>
      <c r="S88" s="2"/>
      <c r="T88" s="2">
        <f>SUM(OSRRefT22_10x_0)</f>
        <v>100</v>
      </c>
      <c r="U88" s="2"/>
      <c r="V88" s="6">
        <f t="shared" si="17"/>
        <v>6.287444877970755E-5</v>
      </c>
      <c r="W88" s="2"/>
      <c r="X88" s="2">
        <f t="shared" si="18"/>
        <v>-100</v>
      </c>
      <c r="Y88" s="2"/>
      <c r="Z88" s="6">
        <f t="shared" si="19"/>
        <v>-1</v>
      </c>
    </row>
    <row r="89" spans="1:26" s="69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/>
      <c r="Q89" s="3"/>
      <c r="R89" s="7">
        <f t="shared" si="16"/>
        <v>0</v>
      </c>
      <c r="S89" s="3"/>
      <c r="T89" s="8">
        <v>100</v>
      </c>
      <c r="U89" s="3"/>
      <c r="V89" s="7">
        <f t="shared" si="17"/>
        <v>6.287444877970755E-5</v>
      </c>
      <c r="W89" s="3"/>
      <c r="X89" s="8">
        <f t="shared" si="18"/>
        <v>-100</v>
      </c>
      <c r="Y89" s="3"/>
      <c r="Z89" s="7">
        <f t="shared" si="19"/>
        <v>-1</v>
      </c>
    </row>
    <row r="90" spans="1:26" s="64" customFormat="1" ht="15" customHeight="1" x14ac:dyDescent="0.3">
      <c r="A90" s="36"/>
      <c r="B90" s="36"/>
      <c r="C90" s="36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2" customFormat="1" ht="15" customHeight="1" collapsed="1" x14ac:dyDescent="0.3">
      <c r="A91" s="11"/>
      <c r="B91" s="27" t="s">
        <v>290</v>
      </c>
      <c r="C91" s="11"/>
      <c r="D91" s="5">
        <f>SUM(OSRRefD25x_0)</f>
        <v>613.26</v>
      </c>
      <c r="E91" s="5"/>
      <c r="F91" s="13">
        <f>IF(D$12=0,0,D91/D$12)</f>
        <v>3.5790064536619158E-3</v>
      </c>
      <c r="G91" s="5"/>
      <c r="H91" s="5">
        <f>SUM(OSRRefH25x_0)</f>
        <v>649.6</v>
      </c>
      <c r="I91" s="5"/>
      <c r="J91" s="13">
        <f>IF(H$12=0,0,H91/H$12)</f>
        <v>3.4936964755454421E-3</v>
      </c>
      <c r="K91" s="5"/>
      <c r="L91" s="5">
        <f>+D91-H91</f>
        <v>-36.340000000000032</v>
      </c>
      <c r="M91" s="5"/>
      <c r="N91" s="13">
        <f>IF(H91=0,0,L91/H91)</f>
        <v>-5.5942118226601036E-2</v>
      </c>
      <c r="O91" s="11"/>
      <c r="P91" s="5">
        <f>SUM(OSRRefP25x_0)</f>
        <v>4454.01</v>
      </c>
      <c r="Q91" s="5"/>
      <c r="R91" s="13">
        <f>IF(P$12=0,0,P91/P$12)</f>
        <v>3.4426429798727273E-3</v>
      </c>
      <c r="S91" s="5"/>
      <c r="T91" s="5">
        <f>SUM(OSRRefT25x_0)</f>
        <v>1278.6399999999999</v>
      </c>
      <c r="U91" s="5"/>
      <c r="V91" s="13">
        <f>IF(T$12=0,0,T91/T$12)</f>
        <v>8.0393785187685249E-4</v>
      </c>
      <c r="W91" s="5"/>
      <c r="X91" s="5">
        <f>+P91-T91</f>
        <v>3175.3700000000003</v>
      </c>
      <c r="Y91" s="5"/>
      <c r="Z91" s="13">
        <f>IF(T91=0,0,X91/T91)</f>
        <v>2.483396421197523</v>
      </c>
    </row>
    <row r="92" spans="1:26" s="69" customFormat="1" ht="15" hidden="1" customHeight="1" outlineLevel="1" x14ac:dyDescent="0.3">
      <c r="A92" s="42"/>
      <c r="B92" s="12" t="str">
        <f>CONCATENATE("          ","4187"," - ","NON-TAXABLE SALES-COMPUTER REP")</f>
        <v xml:space="preserve">          4187 - NON-TAXABLE SALES-COMPUTER REP</v>
      </c>
      <c r="C92" s="12"/>
      <c r="D92" s="3">
        <f>0</f>
        <v>0</v>
      </c>
      <c r="E92" s="3"/>
      <c r="F92" s="20">
        <f>IF(D$12=0,0,D92/D$12)</f>
        <v>0</v>
      </c>
      <c r="G92" s="3"/>
      <c r="H92" s="3">
        <f>-231.36</f>
        <v>-231.36</v>
      </c>
      <c r="I92" s="3"/>
      <c r="J92" s="20">
        <f>IF(H$12=0,0,H92/H$12)</f>
        <v>-1.2443066757730811E-3</v>
      </c>
      <c r="K92" s="3"/>
      <c r="L92" s="3">
        <f>+D92-H92</f>
        <v>231.36</v>
      </c>
      <c r="M92" s="3"/>
      <c r="N92" s="20">
        <f>IF(H92=0,0,L92/H92)</f>
        <v>-1</v>
      </c>
      <c r="O92" s="12"/>
      <c r="P92" s="3">
        <f>0</f>
        <v>0</v>
      </c>
      <c r="Q92" s="3"/>
      <c r="R92" s="20">
        <f>IF(P$12=0,0,P92/P$12)</f>
        <v>0</v>
      </c>
      <c r="S92" s="3"/>
      <c r="T92" s="3">
        <f>--1454.51</f>
        <v>1454.51</v>
      </c>
      <c r="U92" s="3"/>
      <c r="V92" s="20">
        <f>IF(T$12=0,0,T92/T$12)</f>
        <v>9.1451514494572434E-4</v>
      </c>
      <c r="W92" s="3"/>
      <c r="X92" s="3">
        <f>+P92-T92</f>
        <v>-1454.51</v>
      </c>
      <c r="Y92" s="3"/>
      <c r="Z92" s="20">
        <f>IF(T92=0,0,X92/T92)</f>
        <v>-1</v>
      </c>
    </row>
    <row r="93" spans="1:26" s="69" customFormat="1" ht="15" hidden="1" customHeight="1" outlineLevel="1" x14ac:dyDescent="0.3">
      <c r="A93" s="42"/>
      <c r="B93" s="12" t="str">
        <f>CONCATENATE("          ","9087"," - ","")</f>
        <v xml:space="preserve">          9087 - </v>
      </c>
      <c r="C93" s="12"/>
      <c r="D93" s="3">
        <f>--576.08</f>
        <v>576.08000000000004</v>
      </c>
      <c r="E93" s="3"/>
      <c r="F93" s="20">
        <f>IF(D$12=0,0,D93/D$12)</f>
        <v>3.3620226948203971E-3</v>
      </c>
      <c r="G93" s="3"/>
      <c r="H93" s="3">
        <f>0</f>
        <v>0</v>
      </c>
      <c r="I93" s="3"/>
      <c r="J93" s="20">
        <f>IF(H$12=0,0,H93/H$12)</f>
        <v>0</v>
      </c>
      <c r="K93" s="3"/>
      <c r="L93" s="3">
        <f>+D93-H93</f>
        <v>576.08000000000004</v>
      </c>
      <c r="M93" s="3"/>
      <c r="N93" s="20">
        <f>IF(H93=0,0,L93/H93)</f>
        <v>0</v>
      </c>
      <c r="O93" s="12"/>
      <c r="P93" s="3">
        <f>--2207.09</f>
        <v>2207.09</v>
      </c>
      <c r="Q93" s="3"/>
      <c r="R93" s="20">
        <f>IF(P$12=0,0,P93/P$12)</f>
        <v>1.7059285664934064E-3</v>
      </c>
      <c r="S93" s="3"/>
      <c r="T93" s="3">
        <f>0</f>
        <v>0</v>
      </c>
      <c r="U93" s="3"/>
      <c r="V93" s="20">
        <f>IF(T$12=0,0,T93/T$12)</f>
        <v>0</v>
      </c>
      <c r="W93" s="3"/>
      <c r="X93" s="3">
        <f>+P93-T93</f>
        <v>2207.09</v>
      </c>
      <c r="Y93" s="3"/>
      <c r="Z93" s="20">
        <f>IF(T93=0,0,X93/T93)</f>
        <v>0</v>
      </c>
    </row>
    <row r="94" spans="1:26" s="69" customFormat="1" ht="15" hidden="1" customHeight="1" outlineLevel="1" x14ac:dyDescent="0.3">
      <c r="A94" s="42"/>
      <c r="B94" s="12" t="str">
        <f>CONCATENATE("          ","9150"," - ","MISC. INCOME")</f>
        <v xml:space="preserve">          9150 - MISC. INCOME</v>
      </c>
      <c r="C94" s="12"/>
      <c r="D94" s="3">
        <f>--37.18</f>
        <v>37.18</v>
      </c>
      <c r="E94" s="3"/>
      <c r="F94" s="20">
        <f>IF(D$12=0,0,D94/D$12)</f>
        <v>2.1698375884151916E-4</v>
      </c>
      <c r="G94" s="3"/>
      <c r="H94" s="3">
        <f>--880.96</f>
        <v>880.96</v>
      </c>
      <c r="I94" s="3"/>
      <c r="J94" s="20">
        <f>IF(H$12=0,0,H94/H$12)</f>
        <v>4.738003151318523E-3</v>
      </c>
      <c r="K94" s="3"/>
      <c r="L94" s="3">
        <f>+D94-H94</f>
        <v>-843.78000000000009</v>
      </c>
      <c r="M94" s="3"/>
      <c r="N94" s="20">
        <f>IF(H94=0,0,L94/H94)</f>
        <v>-0.95779604068289148</v>
      </c>
      <c r="O94" s="12"/>
      <c r="P94" s="3">
        <f>--2246.92</f>
        <v>2246.92</v>
      </c>
      <c r="Q94" s="3"/>
      <c r="R94" s="20">
        <f>IF(P$12=0,0,P94/P$12)</f>
        <v>1.7367144133793207E-3</v>
      </c>
      <c r="S94" s="3"/>
      <c r="T94" s="3">
        <f>-175.87</f>
        <v>-175.87</v>
      </c>
      <c r="U94" s="3"/>
      <c r="V94" s="20">
        <f>IF(T$12=0,0,T94/T$12)</f>
        <v>-1.1057729306887167E-4</v>
      </c>
      <c r="W94" s="3"/>
      <c r="X94" s="3">
        <f>+P94-T94</f>
        <v>2422.79</v>
      </c>
      <c r="Y94" s="3"/>
      <c r="Z94" s="20">
        <f>IF(T94=0,0,X94/T94)</f>
        <v>-13.776027747768238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2" customFormat="1" ht="15" customHeight="1" x14ac:dyDescent="0.3">
      <c r="A96" s="11"/>
      <c r="B96" s="28" t="s">
        <v>291</v>
      </c>
      <c r="C96" s="28"/>
      <c r="D96" s="23">
        <f>+D50-D52+D91</f>
        <v>4313.6800000000148</v>
      </c>
      <c r="E96" s="15"/>
      <c r="F96" s="22">
        <f>IF(D$12=0,0,D96/D$12)</f>
        <v>2.517478485313307E-2</v>
      </c>
      <c r="G96" s="15"/>
      <c r="H96" s="23">
        <f>+H50-H52+H91</f>
        <v>-7998.8599999999751</v>
      </c>
      <c r="I96" s="15"/>
      <c r="J96" s="22">
        <f>IF(H$12=0,0,H96/H$12)</f>
        <v>-4.3019687485192928E-2</v>
      </c>
      <c r="K96" s="17"/>
      <c r="L96" s="23">
        <f>+D96-H96</f>
        <v>12312.53999999999</v>
      </c>
      <c r="M96" s="17"/>
      <c r="N96" s="22">
        <f>IF(H96=0,0,L96/H96)</f>
        <v>-1.539286848375897</v>
      </c>
      <c r="O96" s="27"/>
      <c r="P96" s="23">
        <f>+P50-P52+P91</f>
        <v>76376.369999999908</v>
      </c>
      <c r="Q96" s="15"/>
      <c r="R96" s="22">
        <f>IF(P$12=0,0,P96/P$12)</f>
        <v>5.9033673927238968E-2</v>
      </c>
      <c r="S96" s="15"/>
      <c r="T96" s="23">
        <f>+T50-T52+T91</f>
        <v>-23854.020000000106</v>
      </c>
      <c r="U96" s="15"/>
      <c r="V96" s="22">
        <f>IF(T$12=0,0,T96/T$12)</f>
        <v>-1.4998083586801261E-2</v>
      </c>
      <c r="W96" s="17"/>
      <c r="X96" s="23">
        <f>+P96-T96</f>
        <v>100230.39000000001</v>
      </c>
      <c r="Y96" s="17"/>
      <c r="Z96" s="22">
        <f>IF(T96=0,0,X96/T96)</f>
        <v>-4.2018238435282429</v>
      </c>
    </row>
    <row r="97" spans="1:26" ht="15" customHeight="1" x14ac:dyDescent="0.3">
      <c r="A97" s="10"/>
      <c r="B97" s="11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2" customFormat="1" ht="15" customHeight="1" x14ac:dyDescent="0.3">
      <c r="A98" s="48"/>
      <c r="B98" s="11" t="s">
        <v>292</v>
      </c>
      <c r="C98" s="11"/>
      <c r="D98" s="5">
        <v>12919.92</v>
      </c>
      <c r="E98" s="5"/>
      <c r="F98" s="13">
        <f>IF(D$12=0,0,D98/D$12)</f>
        <v>7.5401097512956428E-2</v>
      </c>
      <c r="G98" s="5"/>
      <c r="H98" s="5">
        <v>60009.69</v>
      </c>
      <c r="I98" s="5"/>
      <c r="J98" s="13">
        <f>IF(H$12=0,0,H98/H$12)</f>
        <v>0.32274575500550268</v>
      </c>
      <c r="K98" s="5"/>
      <c r="L98" s="5">
        <f>+D98-H98</f>
        <v>-47089.770000000004</v>
      </c>
      <c r="M98" s="5"/>
      <c r="N98" s="13">
        <f>IF(H98=0,0,L98/H98)</f>
        <v>-0.78470277050256387</v>
      </c>
      <c r="O98" s="11"/>
      <c r="P98" s="5">
        <v>161492.66</v>
      </c>
      <c r="Q98" s="5"/>
      <c r="R98" s="13">
        <f>IF(P$12=0,0,P98/P$12)</f>
        <v>0.12482270409136333</v>
      </c>
      <c r="S98" s="5"/>
      <c r="T98" s="5">
        <v>314970.19</v>
      </c>
      <c r="U98" s="5"/>
      <c r="V98" s="13">
        <f>IF(T$12=0,0,T98/T$12)</f>
        <v>0.19803577078289755</v>
      </c>
      <c r="W98" s="5"/>
      <c r="X98" s="5">
        <f>+P98-T98</f>
        <v>-153477.53</v>
      </c>
      <c r="Y98" s="5"/>
      <c r="Z98" s="13">
        <f>IF(T98=0,0,X98/T98)</f>
        <v>-0.48727636732860335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2" customFormat="1" ht="15" customHeight="1" x14ac:dyDescent="0.3">
      <c r="A100" s="11"/>
      <c r="B100" s="28" t="s">
        <v>293</v>
      </c>
      <c r="C100" s="28"/>
      <c r="D100" s="33">
        <f>+D96-D98</f>
        <v>-8606.2399999999852</v>
      </c>
      <c r="E100" s="15"/>
      <c r="F100" s="34">
        <f>IF(D$12=0,0,D100/D$12)</f>
        <v>-5.0226312659823358E-2</v>
      </c>
      <c r="G100" s="15"/>
      <c r="H100" s="33">
        <f>+H96-H98</f>
        <v>-68008.549999999974</v>
      </c>
      <c r="I100" s="15"/>
      <c r="J100" s="34">
        <f>IF(H$12=0,0,H100/H$12)</f>
        <v>-0.36576544249069559</v>
      </c>
      <c r="K100" s="17"/>
      <c r="L100" s="33">
        <f>D100-H100</f>
        <v>59402.30999999999</v>
      </c>
      <c r="M100" s="17"/>
      <c r="N100" s="34">
        <f>IF(H100=0,0,L100/H100)</f>
        <v>-0.8734535584128762</v>
      </c>
      <c r="O100" s="27"/>
      <c r="P100" s="33">
        <f>+P96-P98</f>
        <v>-85116.290000000095</v>
      </c>
      <c r="Q100" s="15"/>
      <c r="R100" s="34">
        <f>IF(P$12=0,0,P100/P$12)</f>
        <v>-6.5789030164124351E-2</v>
      </c>
      <c r="S100" s="15"/>
      <c r="T100" s="33">
        <f>+T96-T98</f>
        <v>-338824.21000000008</v>
      </c>
      <c r="U100" s="15"/>
      <c r="V100" s="34">
        <f>IF(T$12=0,0,T100/T$12)</f>
        <v>-0.21303385436969879</v>
      </c>
      <c r="W100" s="17"/>
      <c r="X100" s="33">
        <f>P100-T100</f>
        <v>253707.91999999998</v>
      </c>
      <c r="Y100" s="17"/>
      <c r="Z100" s="34">
        <f>IF(T100=0,0,X100/T100)</f>
        <v>-0.74878923203274028</v>
      </c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296</v>
      </c>
      <c r="C103" s="28"/>
      <c r="D103" s="35">
        <f>SUM(D100:D102)</f>
        <v>-8606.2399999999852</v>
      </c>
      <c r="E103" s="15"/>
      <c r="F103" s="29">
        <f>IF(D$12=0,0,D103/D$12)</f>
        <v>-5.0226312659823358E-2</v>
      </c>
      <c r="G103" s="15"/>
      <c r="H103" s="35">
        <f>SUM(H100:H102)</f>
        <v>-68008.549999999974</v>
      </c>
      <c r="I103" s="15"/>
      <c r="J103" s="29">
        <f>IF(H$12=0,0,H103/H$12)</f>
        <v>-0.36576544249069559</v>
      </c>
      <c r="K103" s="17"/>
      <c r="L103" s="35">
        <f>+D103-H103</f>
        <v>59402.30999999999</v>
      </c>
      <c r="M103" s="17"/>
      <c r="N103" s="29">
        <f>IF(H103=0,0,L103/H103)</f>
        <v>-0.8734535584128762</v>
      </c>
      <c r="O103" s="27"/>
      <c r="P103" s="35">
        <f>SUM(P100:P102)</f>
        <v>-85116.290000000095</v>
      </c>
      <c r="Q103" s="15"/>
      <c r="R103" s="29">
        <f>IF(P$12=0,0,P103/P$12)</f>
        <v>-6.5789030164124351E-2</v>
      </c>
      <c r="S103" s="15"/>
      <c r="T103" s="35">
        <f>SUM(T100:T102)</f>
        <v>-338824.21000000008</v>
      </c>
      <c r="U103" s="15"/>
      <c r="V103" s="29">
        <f>IF(T$12=0,0,T103/T$12)</f>
        <v>-0.21303385436969879</v>
      </c>
      <c r="W103" s="17"/>
      <c r="X103" s="35">
        <f>+P103-T103</f>
        <v>253707.91999999998</v>
      </c>
      <c r="Y103" s="17"/>
      <c r="Z103" s="29">
        <f>IF(T103=0,0,X103/T103)</f>
        <v>-0.74878923203274028</v>
      </c>
    </row>
    <row r="104" spans="1:26" ht="15" customHeight="1" x14ac:dyDescent="0.3">
      <c r="A104" s="10"/>
      <c r="C104" s="10"/>
      <c r="D104" s="18"/>
      <c r="E104" s="18"/>
      <c r="G104" s="18"/>
      <c r="H104" s="18"/>
      <c r="I104" s="18"/>
      <c r="J104" s="41"/>
      <c r="K104" s="18"/>
      <c r="L104" s="18"/>
      <c r="M104" s="18"/>
      <c r="P104" s="18"/>
      <c r="Q104" s="18"/>
      <c r="R104" s="41"/>
      <c r="S104" s="18"/>
      <c r="T104" s="18"/>
      <c r="U104" s="18"/>
      <c r="V104" s="41"/>
      <c r="W104" s="18"/>
      <c r="X104" s="18"/>
    </row>
    <row r="105" spans="1:26" ht="15" customHeight="1" x14ac:dyDescent="0.3">
      <c r="A105" s="10"/>
      <c r="B105" s="50">
        <v>44634.887768553242</v>
      </c>
      <c r="D105" s="18"/>
      <c r="E105" s="18"/>
      <c r="G105" s="18"/>
      <c r="H105" s="18"/>
      <c r="I105" s="18"/>
      <c r="J105" s="41"/>
      <c r="K105" s="18"/>
      <c r="L105" s="18"/>
      <c r="M105" s="18"/>
      <c r="P105" s="18"/>
      <c r="Q105" s="18"/>
      <c r="R105" s="41"/>
      <c r="S105" s="18"/>
      <c r="T105" s="18"/>
      <c r="U105" s="18"/>
      <c r="V105" s="41"/>
      <c r="W105" s="18"/>
      <c r="X105" s="18"/>
    </row>
    <row r="106" spans="1:26" ht="15" customHeight="1" x14ac:dyDescent="0.3">
      <c r="A106" s="10"/>
      <c r="B106" s="58" t="s">
        <v>297</v>
      </c>
      <c r="D106" s="18"/>
      <c r="E106" s="18"/>
      <c r="G106" s="18"/>
      <c r="H106" s="18"/>
      <c r="I106" s="18"/>
      <c r="J106" s="41"/>
      <c r="K106" s="18"/>
      <c r="L106" s="18"/>
      <c r="M106" s="18"/>
      <c r="P106" s="18"/>
      <c r="Q106" s="18"/>
      <c r="R106" s="41"/>
      <c r="S106" s="18"/>
      <c r="T106" s="18"/>
      <c r="U106" s="18"/>
      <c r="V106" s="41"/>
      <c r="W106" s="18"/>
      <c r="X106" s="18"/>
    </row>
    <row r="107" spans="1:26" ht="15" customHeight="1" x14ac:dyDescent="0.3">
      <c r="A107" s="10"/>
      <c r="B107" s="56"/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  <row r="108" spans="1:26" ht="15" customHeight="1" x14ac:dyDescent="0.3">
      <c r="D108" s="18"/>
      <c r="E108" s="18"/>
      <c r="G108" s="18"/>
      <c r="H108" s="18"/>
      <c r="I108" s="18"/>
      <c r="J108" s="41"/>
      <c r="K108" s="18"/>
      <c r="L108" s="18"/>
      <c r="M108" s="18"/>
      <c r="P108" s="18"/>
      <c r="Q108" s="18"/>
      <c r="R108" s="41"/>
      <c r="S108" s="18"/>
      <c r="T108" s="18"/>
      <c r="U108" s="18"/>
      <c r="V108" s="41"/>
      <c r="W108" s="18"/>
      <c r="X108" s="18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4595-1BBB-9B0E-2502-2F85C0200641}">
  <sheetPr>
    <tabColor rgb="FF92D050"/>
    <outlinePr summaryBelow="0" summaryRight="0"/>
  </sheetPr>
  <dimension ref="A2:Z10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","317"," - ","Computer Store")</f>
        <v>Department 317 - Computer Store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171349.23</v>
      </c>
      <c r="E12" s="5"/>
      <c r="F12" s="13"/>
      <c r="G12" s="5"/>
      <c r="H12" s="5">
        <f>SUM(OSRRefH13x_0)</f>
        <v>185934.87000000002</v>
      </c>
      <c r="I12" s="5"/>
      <c r="J12" s="13"/>
      <c r="K12" s="5"/>
      <c r="L12" s="5">
        <f t="shared" ref="L12:L33" si="0">+D12-H12</f>
        <v>-14585.640000000014</v>
      </c>
      <c r="M12" s="5"/>
      <c r="N12" s="13">
        <f t="shared" ref="N12:N33" si="1">IF(H12=0,0,L12/H12)</f>
        <v>-7.8444887717941295E-2</v>
      </c>
      <c r="O12" s="11"/>
      <c r="P12" s="5">
        <f>SUM(OSRRefP13x_0)</f>
        <v>1293776.3299999998</v>
      </c>
      <c r="Q12" s="5"/>
      <c r="R12" s="13"/>
      <c r="S12" s="5"/>
      <c r="T12" s="5">
        <f>SUM(OSRRefT13x_0)</f>
        <v>1590471.2</v>
      </c>
      <c r="U12" s="5"/>
      <c r="V12" s="13"/>
      <c r="W12" s="5"/>
      <c r="X12" s="5">
        <f t="shared" ref="X12:X33" si="2">+P12-T12</f>
        <v>-296694.87000000011</v>
      </c>
      <c r="Y12" s="5"/>
      <c r="Z12" s="13">
        <f t="shared" ref="Z12:Z33" si="3">IF(T12=0,0,X12/T12)</f>
        <v>-0.18654526407016997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--119951.35</f>
        <v>119951.35</v>
      </c>
      <c r="E13" s="3"/>
      <c r="F13" s="20"/>
      <c r="G13" s="3"/>
      <c r="H13" s="3">
        <f>-49</f>
        <v>-49</v>
      </c>
      <c r="I13" s="3"/>
      <c r="J13" s="20"/>
      <c r="K13" s="3"/>
      <c r="L13" s="3">
        <f t="shared" si="0"/>
        <v>120000.35</v>
      </c>
      <c r="M13" s="3"/>
      <c r="N13" s="20">
        <f t="shared" si="1"/>
        <v>-2448.9867346938777</v>
      </c>
      <c r="O13" s="12"/>
      <c r="P13" s="3">
        <f>--1026610.68</f>
        <v>1026610.68</v>
      </c>
      <c r="Q13" s="3"/>
      <c r="R13" s="20"/>
      <c r="S13" s="3"/>
      <c r="T13" s="3">
        <f>-2696.96</f>
        <v>-2696.96</v>
      </c>
      <c r="U13" s="3"/>
      <c r="V13" s="20"/>
      <c r="W13" s="3"/>
      <c r="X13" s="3">
        <f t="shared" si="2"/>
        <v>1029307.64</v>
      </c>
      <c r="Y13" s="3"/>
      <c r="Z13" s="20">
        <f t="shared" si="3"/>
        <v>-381.65476684859988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--64.79</f>
        <v>64.790000000000006</v>
      </c>
      <c r="I14" s="3"/>
      <c r="J14" s="20"/>
      <c r="K14" s="3"/>
      <c r="L14" s="3">
        <f t="shared" si="0"/>
        <v>-64.790000000000006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--59262.85</f>
        <v>59262.85</v>
      </c>
      <c r="U14" s="3"/>
      <c r="V14" s="20"/>
      <c r="W14" s="3"/>
      <c r="X14" s="3">
        <f t="shared" si="2"/>
        <v>-59262.85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--165815.3</f>
        <v>165815.29999999999</v>
      </c>
      <c r="I15" s="3"/>
      <c r="J15" s="20"/>
      <c r="K15" s="3"/>
      <c r="L15" s="3">
        <f t="shared" si="0"/>
        <v>-165815.29999999999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--1250838.47</f>
        <v>1250838.47</v>
      </c>
      <c r="U15" s="3"/>
      <c r="V15" s="20"/>
      <c r="W15" s="3"/>
      <c r="X15" s="3">
        <f t="shared" si="2"/>
        <v>-1250838.47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--3521.24</f>
        <v>3521.24</v>
      </c>
      <c r="I16" s="3"/>
      <c r="J16" s="20"/>
      <c r="K16" s="3"/>
      <c r="L16" s="3">
        <f t="shared" si="0"/>
        <v>-3521.24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--96798.83</f>
        <v>96798.83</v>
      </c>
      <c r="U16" s="3"/>
      <c r="V16" s="20"/>
      <c r="W16" s="3"/>
      <c r="X16" s="3">
        <f t="shared" si="2"/>
        <v>-96798.83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--2878.93</f>
        <v>2878.93</v>
      </c>
      <c r="U17" s="3"/>
      <c r="V17" s="20"/>
      <c r="W17" s="3"/>
      <c r="X17" s="3">
        <f t="shared" si="2"/>
        <v>-2878.93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--1077.33</f>
        <v>1077.33</v>
      </c>
      <c r="I18" s="3"/>
      <c r="J18" s="20"/>
      <c r="K18" s="3"/>
      <c r="L18" s="3">
        <f t="shared" si="0"/>
        <v>-1077.33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--58947.17</f>
        <v>58947.17</v>
      </c>
      <c r="U18" s="3"/>
      <c r="V18" s="20"/>
      <c r="W18" s="3"/>
      <c r="X18" s="3">
        <f t="shared" si="2"/>
        <v>-58947.17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--77573.66</f>
        <v>77573.66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77573.66</v>
      </c>
      <c r="M19" s="3"/>
      <c r="N19" s="20">
        <f t="shared" si="1"/>
        <v>0</v>
      </c>
      <c r="O19" s="12"/>
      <c r="P19" s="3">
        <f>--493256.87</f>
        <v>493256.87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493256.87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--6619.94</f>
        <v>6619.94</v>
      </c>
      <c r="I20" s="3"/>
      <c r="J20" s="20"/>
      <c r="K20" s="3"/>
      <c r="L20" s="3">
        <f t="shared" si="0"/>
        <v>-6619.94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--12192.66</f>
        <v>12192.66</v>
      </c>
      <c r="U20" s="3"/>
      <c r="V20" s="20"/>
      <c r="W20" s="3"/>
      <c r="X20" s="3">
        <f t="shared" si="2"/>
        <v>-12192.66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--33247.79</f>
        <v>33247.79</v>
      </c>
      <c r="I21" s="3"/>
      <c r="J21" s="20"/>
      <c r="K21" s="3"/>
      <c r="L21" s="3">
        <f t="shared" si="0"/>
        <v>-33247.79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--219646.99</f>
        <v>219646.99</v>
      </c>
      <c r="U21" s="3"/>
      <c r="V21" s="20"/>
      <c r="W21" s="3"/>
      <c r="X21" s="3">
        <f t="shared" si="2"/>
        <v>-219646.99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--3104.68</f>
        <v>3104.68</v>
      </c>
      <c r="I22" s="3"/>
      <c r="J22" s="20"/>
      <c r="K22" s="3"/>
      <c r="L22" s="3">
        <f t="shared" si="0"/>
        <v>-3104.68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--13622.82</f>
        <v>13622.82</v>
      </c>
      <c r="U22" s="3"/>
      <c r="V22" s="20"/>
      <c r="W22" s="3"/>
      <c r="X22" s="3">
        <f t="shared" si="2"/>
        <v>-13622.82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--5296.67</f>
        <v>5296.67</v>
      </c>
      <c r="I23" s="3"/>
      <c r="J23" s="20"/>
      <c r="K23" s="3"/>
      <c r="L23" s="3">
        <f t="shared" si="0"/>
        <v>-5296.67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--35127.19</f>
        <v>35127.19</v>
      </c>
      <c r="U23" s="3"/>
      <c r="V23" s="20"/>
      <c r="W23" s="3"/>
      <c r="X23" s="3">
        <f t="shared" si="2"/>
        <v>-35127.19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--345.23</f>
        <v>345.23</v>
      </c>
      <c r="I24" s="3"/>
      <c r="J24" s="20"/>
      <c r="K24" s="3"/>
      <c r="L24" s="3">
        <f t="shared" si="0"/>
        <v>-345.23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--2830.26</f>
        <v>2830.26</v>
      </c>
      <c r="U24" s="3"/>
      <c r="V24" s="20"/>
      <c r="W24" s="3"/>
      <c r="X24" s="3">
        <f t="shared" si="2"/>
        <v>-2830.26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-25608.66</f>
        <v>-25608.66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-25608.66</v>
      </c>
      <c r="M25" s="3"/>
      <c r="N25" s="20">
        <f t="shared" si="1"/>
        <v>0</v>
      </c>
      <c r="O25" s="12"/>
      <c r="P25" s="3">
        <f>-224059.1</f>
        <v>-224059.1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-224059.1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-32711.15</f>
        <v>-32711.15</v>
      </c>
      <c r="I27" s="3"/>
      <c r="J27" s="20"/>
      <c r="K27" s="3"/>
      <c r="L27" s="3">
        <f t="shared" si="0"/>
        <v>32711.15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-129628.16</f>
        <v>-129628.16</v>
      </c>
      <c r="U27" s="3"/>
      <c r="V27" s="20"/>
      <c r="W27" s="3"/>
      <c r="X27" s="3">
        <f t="shared" si="2"/>
        <v>129628.16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-212.99</f>
        <v>-212.99</v>
      </c>
      <c r="I28" s="3"/>
      <c r="J28" s="20"/>
      <c r="K28" s="3"/>
      <c r="L28" s="3">
        <f t="shared" si="0"/>
        <v>212.99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-3359.28</f>
        <v>-3359.28</v>
      </c>
      <c r="U28" s="3"/>
      <c r="V28" s="20"/>
      <c r="W28" s="3"/>
      <c r="X28" s="3">
        <f t="shared" si="2"/>
        <v>3359.28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-149.99</f>
        <v>-149.99</v>
      </c>
      <c r="I29" s="3"/>
      <c r="J29" s="20"/>
      <c r="K29" s="3"/>
      <c r="L29" s="3">
        <f t="shared" si="0"/>
        <v>149.99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-841.97</f>
        <v>-841.97</v>
      </c>
      <c r="U29" s="3"/>
      <c r="V29" s="20"/>
      <c r="W29" s="3"/>
      <c r="X29" s="3">
        <f t="shared" si="2"/>
        <v>841.97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-34.97</f>
        <v>-34.97</v>
      </c>
      <c r="I30" s="3"/>
      <c r="J30" s="20"/>
      <c r="K30" s="3"/>
      <c r="L30" s="3">
        <f t="shared" si="0"/>
        <v>34.97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-4762.31</f>
        <v>-4762.3100000000004</v>
      </c>
      <c r="U30" s="3"/>
      <c r="V30" s="20"/>
      <c r="W30" s="3"/>
      <c r="X30" s="3">
        <f t="shared" si="2"/>
        <v>4762.3100000000004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-389.74</f>
        <v>-389.74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-389.74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","4500"," - ","SALES DISCOUNT")</f>
        <v xml:space="preserve">          4500 - SALES DISCOUNT</v>
      </c>
      <c r="C33" s="12"/>
      <c r="D33" s="3">
        <f>-177.38</f>
        <v>-177.38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-177.38</v>
      </c>
      <c r="M33" s="3"/>
      <c r="N33" s="20">
        <f t="shared" si="1"/>
        <v>0</v>
      </c>
      <c r="O33" s="12"/>
      <c r="P33" s="3">
        <f>-917.6</f>
        <v>-917.6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-917.6</v>
      </c>
      <c r="Y33" s="3"/>
      <c r="Z33" s="20">
        <f t="shared" si="3"/>
        <v>0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collapsed="1" x14ac:dyDescent="0.3">
      <c r="A35" s="11"/>
      <c r="B35" s="27" t="s">
        <v>287</v>
      </c>
      <c r="C35" s="11"/>
      <c r="D35" s="5">
        <f>SUM(OSRRefD16x_0)</f>
        <v>151731.15</v>
      </c>
      <c r="E35" s="5"/>
      <c r="F35" s="13">
        <f t="shared" ref="F35:F48" si="4">IF(D$12=0,0,D35/D$12)</f>
        <v>0.88550821033744931</v>
      </c>
      <c r="G35" s="5"/>
      <c r="H35" s="5">
        <f>SUM(OSRRefH16x_0)</f>
        <v>181960</v>
      </c>
      <c r="I35" s="5"/>
      <c r="J35" s="13">
        <f t="shared" ref="J35:J48" si="5">IF(H$12=0,0,H35/H$12)</f>
        <v>0.97862224552070287</v>
      </c>
      <c r="K35" s="5"/>
      <c r="L35" s="5">
        <f t="shared" ref="L35:L48" si="6">+D35-H35</f>
        <v>-30228.850000000006</v>
      </c>
      <c r="M35" s="5"/>
      <c r="N35" s="13">
        <f t="shared" ref="N35:N48" si="7">IF(H35=0,0,L35/H35)</f>
        <v>-0.16612909430644102</v>
      </c>
      <c r="O35" s="11"/>
      <c r="P35" s="5">
        <f>SUM(OSRRefP16x_0)</f>
        <v>1106038.9099999999</v>
      </c>
      <c r="Q35" s="5"/>
      <c r="R35" s="13">
        <f t="shared" ref="R35:R48" si="8">IF(P$12=0,0,P35/P$12)</f>
        <v>0.85489190391974479</v>
      </c>
      <c r="S35" s="5"/>
      <c r="T35" s="5">
        <f>SUM(OSRRefT16x_0)</f>
        <v>1508495.84</v>
      </c>
      <c r="U35" s="5"/>
      <c r="V35" s="13">
        <f t="shared" ref="V35:V48" si="9">IF(T$12=0,0,T35/T$12)</f>
        <v>0.94845844426481918</v>
      </c>
      <c r="W35" s="5"/>
      <c r="X35" s="5">
        <f t="shared" ref="X35:X48" si="10">+P35-T35</f>
        <v>-402456.93000000017</v>
      </c>
      <c r="Y35" s="5"/>
      <c r="Z35" s="13">
        <f t="shared" ref="Z35:Z48" si="11">IF(T35=0,0,X35/T35)</f>
        <v>-0.26679352990459698</v>
      </c>
    </row>
    <row r="36" spans="1:26" s="69" customFormat="1" ht="15" hidden="1" customHeight="1" outlineLevel="1" x14ac:dyDescent="0.3">
      <c r="A36" s="42"/>
      <c r="B36" s="12" t="str">
        <f>CONCATENATE("          ","5000"," - ","PURCHASES @ COST")</f>
        <v xml:space="preserve">          5000 - PURCHASES @ COST</v>
      </c>
      <c r="C36" s="12"/>
      <c r="D36" s="3">
        <v>148585.57</v>
      </c>
      <c r="E36" s="3"/>
      <c r="F36" s="20">
        <f t="shared" si="4"/>
        <v>0.8671504972622287</v>
      </c>
      <c r="G36" s="3"/>
      <c r="H36" s="3"/>
      <c r="I36" s="3"/>
      <c r="J36" s="20">
        <f t="shared" si="5"/>
        <v>0</v>
      </c>
      <c r="K36" s="3"/>
      <c r="L36" s="3">
        <f t="shared" si="6"/>
        <v>148585.57</v>
      </c>
      <c r="M36" s="3"/>
      <c r="N36" s="20">
        <f t="shared" si="7"/>
        <v>0</v>
      </c>
      <c r="O36" s="12"/>
      <c r="P36" s="3">
        <v>1174314.93</v>
      </c>
      <c r="Q36" s="3"/>
      <c r="R36" s="20">
        <f t="shared" si="8"/>
        <v>0.90766456517255967</v>
      </c>
      <c r="S36" s="3"/>
      <c r="T36" s="3">
        <v>0</v>
      </c>
      <c r="U36" s="3"/>
      <c r="V36" s="20">
        <f t="shared" si="9"/>
        <v>0</v>
      </c>
      <c r="W36" s="3"/>
      <c r="X36" s="3">
        <f t="shared" si="10"/>
        <v>1174314.93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","5081"," - ","PURCHASES @ COST-ELECTRONICS")</f>
        <v xml:space="preserve">          5081 - PURCHASES @ COST-ELECTRONICS</v>
      </c>
      <c r="C37" s="12"/>
      <c r="D37" s="3"/>
      <c r="E37" s="3"/>
      <c r="F37" s="20">
        <f t="shared" si="4"/>
        <v>0</v>
      </c>
      <c r="G37" s="3"/>
      <c r="H37" s="3">
        <v>6584.13</v>
      </c>
      <c r="I37" s="3"/>
      <c r="J37" s="20">
        <f t="shared" si="5"/>
        <v>3.5410947930315594E-2</v>
      </c>
      <c r="K37" s="3"/>
      <c r="L37" s="3">
        <f t="shared" si="6"/>
        <v>-6584.13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32157.9</v>
      </c>
      <c r="U37" s="3"/>
      <c r="V37" s="20">
        <f t="shared" si="9"/>
        <v>2.0219102364129576E-2</v>
      </c>
      <c r="W37" s="3"/>
      <c r="X37" s="3">
        <f t="shared" si="10"/>
        <v>-32157.9</v>
      </c>
      <c r="Y37" s="3"/>
      <c r="Z37" s="20">
        <f t="shared" si="11"/>
        <v>-1</v>
      </c>
    </row>
    <row r="38" spans="1:26" s="69" customFormat="1" ht="15" hidden="1" customHeight="1" outlineLevel="1" x14ac:dyDescent="0.3">
      <c r="A38" s="42"/>
      <c r="B38" s="12" t="str">
        <f>CONCATENATE("          ","5082"," - ","PURCHASES @ COST-COMPUTER HARD")</f>
        <v xml:space="preserve">          5082 - PURCHASES @ COST-COMPUTER HARD</v>
      </c>
      <c r="C38" s="12"/>
      <c r="D38" s="3"/>
      <c r="E38" s="3"/>
      <c r="F38" s="20">
        <f t="shared" si="4"/>
        <v>0</v>
      </c>
      <c r="G38" s="3"/>
      <c r="H38" s="3">
        <v>184376.31</v>
      </c>
      <c r="I38" s="3"/>
      <c r="J38" s="20">
        <f t="shared" si="5"/>
        <v>0.99161771000781063</v>
      </c>
      <c r="K38" s="3"/>
      <c r="L38" s="3">
        <f t="shared" si="6"/>
        <v>-184376.31</v>
      </c>
      <c r="M38" s="3"/>
      <c r="N38" s="20">
        <f t="shared" si="7"/>
        <v>-1</v>
      </c>
      <c r="O38" s="12"/>
      <c r="P38" s="3">
        <v>-93808.4</v>
      </c>
      <c r="Q38" s="3"/>
      <c r="R38" s="20">
        <f t="shared" si="8"/>
        <v>-7.2507432563710617E-2</v>
      </c>
      <c r="S38" s="3"/>
      <c r="T38" s="3">
        <v>1263577.8400000001</v>
      </c>
      <c r="U38" s="3"/>
      <c r="V38" s="20">
        <f t="shared" si="9"/>
        <v>0.79446760180253506</v>
      </c>
      <c r="W38" s="3"/>
      <c r="X38" s="3">
        <f t="shared" si="10"/>
        <v>-1357386.24</v>
      </c>
      <c r="Y38" s="3"/>
      <c r="Z38" s="20">
        <f t="shared" si="11"/>
        <v>-1.0742403016501143</v>
      </c>
    </row>
    <row r="39" spans="1:26" s="69" customFormat="1" ht="15" hidden="1" customHeight="1" outlineLevel="1" x14ac:dyDescent="0.3">
      <c r="A39" s="42"/>
      <c r="B39" s="12" t="str">
        <f>CONCATENATE("          ","5083"," - ","PURCHASES @ COST-COMPUTER EQUI")</f>
        <v xml:space="preserve">          5083 - PURCHASES @ COST-COMPUTER EQUI</v>
      </c>
      <c r="C39" s="12"/>
      <c r="D39" s="3"/>
      <c r="E39" s="3"/>
      <c r="F39" s="20">
        <f t="shared" si="4"/>
        <v>0</v>
      </c>
      <c r="G39" s="3"/>
      <c r="H39" s="3">
        <v>8631.6</v>
      </c>
      <c r="I39" s="3"/>
      <c r="J39" s="20">
        <f t="shared" si="5"/>
        <v>4.6422707047903383E-2</v>
      </c>
      <c r="K39" s="3"/>
      <c r="L39" s="3">
        <f t="shared" si="6"/>
        <v>-8631.6</v>
      </c>
      <c r="M39" s="3"/>
      <c r="N39" s="20">
        <f t="shared" si="7"/>
        <v>-1</v>
      </c>
      <c r="O39" s="12"/>
      <c r="P39" s="3">
        <v>0</v>
      </c>
      <c r="Q39" s="3"/>
      <c r="R39" s="20">
        <f t="shared" si="8"/>
        <v>0</v>
      </c>
      <c r="S39" s="3"/>
      <c r="T39" s="3">
        <v>99188.27</v>
      </c>
      <c r="U39" s="3"/>
      <c r="V39" s="20">
        <f t="shared" si="9"/>
        <v>6.2364078016628036E-2</v>
      </c>
      <c r="W39" s="3"/>
      <c r="X39" s="3">
        <f t="shared" si="10"/>
        <v>-99188.27</v>
      </c>
      <c r="Y39" s="3"/>
      <c r="Z39" s="20">
        <f t="shared" si="11"/>
        <v>-1</v>
      </c>
    </row>
    <row r="40" spans="1:26" s="69" customFormat="1" ht="15" hidden="1" customHeight="1" outlineLevel="1" x14ac:dyDescent="0.3">
      <c r="A40" s="42"/>
      <c r="B40" s="12" t="str">
        <f>CONCATENATE("          ","5085"," - ","PURCHASES @ COST-SOFTWARE")</f>
        <v xml:space="preserve">          5085 - PURCHASES @ COST-SOFTWARE</v>
      </c>
      <c r="C40" s="12"/>
      <c r="D40" s="3"/>
      <c r="E40" s="3"/>
      <c r="F40" s="20">
        <f t="shared" si="4"/>
        <v>0</v>
      </c>
      <c r="G40" s="3"/>
      <c r="H40" s="3">
        <v>1399.23</v>
      </c>
      <c r="I40" s="3"/>
      <c r="J40" s="20">
        <f t="shared" si="5"/>
        <v>7.5253770312152845E-3</v>
      </c>
      <c r="K40" s="3"/>
      <c r="L40" s="3">
        <f t="shared" si="6"/>
        <v>-1399.23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30145.45</v>
      </c>
      <c r="U40" s="3"/>
      <c r="V40" s="20">
        <f t="shared" si="9"/>
        <v>1.8953785519662349E-2</v>
      </c>
      <c r="W40" s="3"/>
      <c r="X40" s="3">
        <f t="shared" si="10"/>
        <v>-30145.45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","5086"," - ","PURCHASES @ COST-COMPUTER SUPP")</f>
        <v xml:space="preserve">          5086 - PURCHASES @ COST-COMPUTER SUPP</v>
      </c>
      <c r="C41" s="12"/>
      <c r="D41" s="3"/>
      <c r="E41" s="3"/>
      <c r="F41" s="20">
        <f t="shared" si="4"/>
        <v>0</v>
      </c>
      <c r="G41" s="3"/>
      <c r="H41" s="3">
        <v>385.43</v>
      </c>
      <c r="I41" s="3"/>
      <c r="J41" s="20">
        <f t="shared" si="5"/>
        <v>2.0729301609751843E-3</v>
      </c>
      <c r="K41" s="3"/>
      <c r="L41" s="3">
        <f t="shared" si="6"/>
        <v>-385.43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23125.279999999999</v>
      </c>
      <c r="U41" s="3"/>
      <c r="V41" s="20">
        <f t="shared" si="9"/>
        <v>1.4539892328763954E-2</v>
      </c>
      <c r="W41" s="3"/>
      <c r="X41" s="3">
        <f t="shared" si="10"/>
        <v>-23125.279999999999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-148609.87</v>
      </c>
      <c r="E42" s="3"/>
      <c r="F42" s="20">
        <f t="shared" si="4"/>
        <v>-0.86729231289805031</v>
      </c>
      <c r="G42" s="3"/>
      <c r="H42" s="3">
        <v>-201407.7</v>
      </c>
      <c r="I42" s="3"/>
      <c r="J42" s="20">
        <f t="shared" si="5"/>
        <v>-1.0832163972255446</v>
      </c>
      <c r="K42" s="3"/>
      <c r="L42" s="3">
        <f t="shared" si="6"/>
        <v>52797.830000000016</v>
      </c>
      <c r="M42" s="3"/>
      <c r="N42" s="20">
        <f t="shared" si="7"/>
        <v>-0.26214404911033695</v>
      </c>
      <c r="O42" s="12"/>
      <c r="P42" s="3">
        <v>-1174407.57</v>
      </c>
      <c r="Q42" s="3"/>
      <c r="R42" s="20">
        <f t="shared" si="8"/>
        <v>-0.90773616951239189</v>
      </c>
      <c r="S42" s="3"/>
      <c r="T42" s="3">
        <v>-1444671.48</v>
      </c>
      <c r="U42" s="3"/>
      <c r="V42" s="20">
        <f t="shared" si="9"/>
        <v>-0.90832922972764296</v>
      </c>
      <c r="W42" s="3"/>
      <c r="X42" s="3">
        <f t="shared" si="10"/>
        <v>270263.90999999992</v>
      </c>
      <c r="Y42" s="3"/>
      <c r="Z42" s="20">
        <f t="shared" si="11"/>
        <v>-0.18707637946863873</v>
      </c>
    </row>
    <row r="43" spans="1:26" s="69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151731.15</v>
      </c>
      <c r="E43" s="3"/>
      <c r="F43" s="20">
        <f t="shared" si="4"/>
        <v>0.88550821033744931</v>
      </c>
      <c r="G43" s="3"/>
      <c r="H43" s="3">
        <v>181960</v>
      </c>
      <c r="I43" s="3"/>
      <c r="J43" s="20">
        <f t="shared" si="5"/>
        <v>0.97862224552070287</v>
      </c>
      <c r="K43" s="3"/>
      <c r="L43" s="3">
        <f t="shared" si="6"/>
        <v>-30228.850000000006</v>
      </c>
      <c r="M43" s="3"/>
      <c r="N43" s="20">
        <f t="shared" si="7"/>
        <v>-0.16612909430644102</v>
      </c>
      <c r="O43" s="12"/>
      <c r="P43" s="3">
        <v>1199847.31</v>
      </c>
      <c r="Q43" s="3"/>
      <c r="R43" s="20">
        <f t="shared" si="8"/>
        <v>0.92739933648345552</v>
      </c>
      <c r="S43" s="3"/>
      <c r="T43" s="3">
        <v>1504550</v>
      </c>
      <c r="U43" s="3"/>
      <c r="V43" s="20">
        <f t="shared" si="9"/>
        <v>0.94597751911508998</v>
      </c>
      <c r="W43" s="3"/>
      <c r="X43" s="3">
        <f t="shared" si="10"/>
        <v>-304702.68999999994</v>
      </c>
      <c r="Y43" s="3"/>
      <c r="Z43" s="20">
        <f t="shared" si="11"/>
        <v>-0.20252081353228538</v>
      </c>
    </row>
    <row r="44" spans="1:26" s="69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24.3</v>
      </c>
      <c r="E44" s="3"/>
      <c r="F44" s="20">
        <f t="shared" si="4"/>
        <v>1.4181563582164915E-4</v>
      </c>
      <c r="G44" s="3"/>
      <c r="H44" s="3"/>
      <c r="I44" s="3"/>
      <c r="J44" s="20">
        <f t="shared" si="5"/>
        <v>0</v>
      </c>
      <c r="K44" s="3"/>
      <c r="L44" s="3">
        <f t="shared" si="6"/>
        <v>24.3</v>
      </c>
      <c r="M44" s="3"/>
      <c r="N44" s="20">
        <f t="shared" si="7"/>
        <v>0</v>
      </c>
      <c r="O44" s="12"/>
      <c r="P44" s="3">
        <v>92.64</v>
      </c>
      <c r="Q44" s="3"/>
      <c r="R44" s="20">
        <f t="shared" si="8"/>
        <v>7.1604339832063559E-5</v>
      </c>
      <c r="S44" s="3"/>
      <c r="T44" s="3">
        <v>0</v>
      </c>
      <c r="U44" s="3"/>
      <c r="V44" s="20">
        <f t="shared" si="9"/>
        <v>0</v>
      </c>
      <c r="W44" s="3"/>
      <c r="X44" s="3">
        <f t="shared" si="10"/>
        <v>92.64</v>
      </c>
      <c r="Y44" s="3"/>
      <c r="Z44" s="20">
        <f t="shared" si="11"/>
        <v>0</v>
      </c>
    </row>
    <row r="45" spans="1:26" s="69" customFormat="1" ht="15" hidden="1" customHeight="1" outlineLevel="1" x14ac:dyDescent="0.3">
      <c r="A45" s="42"/>
      <c r="B45" s="12" t="str">
        <f>CONCATENATE("          ","5581"," - ","FREIGHT-IN-ELECTRONICS")</f>
        <v xml:space="preserve">          5581 - FREIGHT-IN-ELECTRONICS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/>
      <c r="Q45" s="3"/>
      <c r="R45" s="20">
        <f t="shared" si="8"/>
        <v>0</v>
      </c>
      <c r="S45" s="3"/>
      <c r="T45" s="3">
        <v>31</v>
      </c>
      <c r="U45" s="3"/>
      <c r="V45" s="20">
        <f t="shared" si="9"/>
        <v>1.9491079121709341E-5</v>
      </c>
      <c r="W45" s="3"/>
      <c r="X45" s="3">
        <f t="shared" si="10"/>
        <v>-31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","5582"," - ","FREIGHT-IN-COMPUTER HARDWARE")</f>
        <v xml:space="preserve">          5582 - FREIGHT-IN-COMPUTER HARDWARE</v>
      </c>
      <c r="C46" s="12"/>
      <c r="D46" s="3"/>
      <c r="E46" s="3"/>
      <c r="F46" s="20">
        <f t="shared" si="4"/>
        <v>0</v>
      </c>
      <c r="G46" s="3"/>
      <c r="H46" s="3">
        <v>31</v>
      </c>
      <c r="I46" s="3"/>
      <c r="J46" s="20">
        <f t="shared" si="5"/>
        <v>1.6672504732436684E-4</v>
      </c>
      <c r="K46" s="3"/>
      <c r="L46" s="3">
        <f t="shared" si="6"/>
        <v>-31</v>
      </c>
      <c r="M46" s="3"/>
      <c r="N46" s="20">
        <f t="shared" si="7"/>
        <v>-1</v>
      </c>
      <c r="O46" s="12"/>
      <c r="P46" s="3"/>
      <c r="Q46" s="3"/>
      <c r="R46" s="20">
        <f t="shared" si="8"/>
        <v>0</v>
      </c>
      <c r="S46" s="3"/>
      <c r="T46" s="3">
        <v>125</v>
      </c>
      <c r="U46" s="3"/>
      <c r="V46" s="20">
        <f t="shared" si="9"/>
        <v>7.8593060974634438E-5</v>
      </c>
      <c r="W46" s="3"/>
      <c r="X46" s="3">
        <f t="shared" si="10"/>
        <v>-125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","5583"," - ","FREIGHT-IN-COMPUTER EQUIPMENT")</f>
        <v xml:space="preserve">          5583 - FREIGHT-IN-COMPUTER EQUIPMENT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>
        <v>242.46</v>
      </c>
      <c r="U47" s="3"/>
      <c r="V47" s="20">
        <f t="shared" si="9"/>
        <v>1.5244538851127894E-4</v>
      </c>
      <c r="W47" s="3"/>
      <c r="X47" s="3">
        <f t="shared" si="10"/>
        <v>-242.46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","5586"," - ","FREIGHT-IN-COMPUTER SUPPLIES")</f>
        <v xml:space="preserve">          5586 - FREIGHT-IN-COMPUTER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24.12</v>
      </c>
      <c r="U48" s="3"/>
      <c r="V48" s="20">
        <f t="shared" si="9"/>
        <v>1.5165317045665462E-5</v>
      </c>
      <c r="W48" s="3"/>
      <c r="X48" s="3">
        <f t="shared" si="10"/>
        <v>-24.12</v>
      </c>
      <c r="Y48" s="3"/>
      <c r="Z48" s="20">
        <f t="shared" si="11"/>
        <v>-1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288</v>
      </c>
      <c r="C50" s="28"/>
      <c r="D50" s="23">
        <f>D12-D35</f>
        <v>19618.080000000016</v>
      </c>
      <c r="E50" s="15"/>
      <c r="F50" s="22">
        <f>IF(D$12=0,0,D50/D$12)</f>
        <v>0.11449178966255066</v>
      </c>
      <c r="G50" s="15"/>
      <c r="H50" s="23">
        <f>H12-H35</f>
        <v>3974.8700000000244</v>
      </c>
      <c r="I50" s="15"/>
      <c r="J50" s="22">
        <f>IF(H$12=0,0,H50/H$12)</f>
        <v>2.1377754479297101E-2</v>
      </c>
      <c r="K50" s="17"/>
      <c r="L50" s="23">
        <f>+D50-H50</f>
        <v>15643.209999999992</v>
      </c>
      <c r="M50" s="17"/>
      <c r="N50" s="22">
        <f>IF(H50=0,0,L50/H50)</f>
        <v>3.9355274512122147</v>
      </c>
      <c r="O50" s="27"/>
      <c r="P50" s="23">
        <f>P12-P35</f>
        <v>187737.41999999993</v>
      </c>
      <c r="Q50" s="15"/>
      <c r="R50" s="22">
        <f>IF(P$12=0,0,P50/P$12)</f>
        <v>0.14510809608025518</v>
      </c>
      <c r="S50" s="15"/>
      <c r="T50" s="23">
        <f>T12-T35</f>
        <v>81975.35999999987</v>
      </c>
      <c r="U50" s="15"/>
      <c r="V50" s="22">
        <f>IF(T$12=0,0,T50/T$12)</f>
        <v>5.1541555735180787E-2</v>
      </c>
      <c r="W50" s="17"/>
      <c r="X50" s="23">
        <f>+P50-T50</f>
        <v>105762.06000000006</v>
      </c>
      <c r="Y50" s="17"/>
      <c r="Z50" s="22">
        <f>IF(T50=0,0,X50/T50)</f>
        <v>1.2901688995327403</v>
      </c>
    </row>
    <row r="51" spans="1:26" ht="15" customHeight="1" x14ac:dyDescent="0.3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2" customFormat="1" ht="15" customHeight="1" x14ac:dyDescent="0.3">
      <c r="A52" s="11"/>
      <c r="B52" s="27" t="s">
        <v>289</v>
      </c>
      <c r="C52" s="11"/>
      <c r="D52" s="21" cm="1">
        <f t="array" ref="D52">SUM(OSRRefD22x_0)</f>
        <v>15917.660000000002</v>
      </c>
      <c r="E52" s="21"/>
      <c r="F52" s="30">
        <f t="shared" ref="F52:F89" si="12">IF(D$12=0,0,D52/D$12)</f>
        <v>9.2896011263079503E-2</v>
      </c>
      <c r="G52" s="21"/>
      <c r="H52" s="21" cm="1">
        <f t="array" ref="H52">SUM(OSRRefH22x_0)</f>
        <v>12623.33</v>
      </c>
      <c r="I52" s="21"/>
      <c r="J52" s="30">
        <f t="shared" ref="J52:J89" si="13">IF(H$12=0,0,H52/H$12)</f>
        <v>6.789113844003547E-2</v>
      </c>
      <c r="K52" s="5"/>
      <c r="L52" s="21">
        <f t="shared" ref="L52:L89" si="14">+D52-H52</f>
        <v>3294.3300000000017</v>
      </c>
      <c r="M52" s="5"/>
      <c r="N52" s="30">
        <f t="shared" ref="N52:N89" si="15">IF(H52=0,0,L52/H52)</f>
        <v>0.26097155029615815</v>
      </c>
      <c r="O52" s="11"/>
      <c r="P52" s="21" cm="1">
        <f t="array" ref="P52">SUM(OSRRefP22x_0)</f>
        <v>115815.06000000001</v>
      </c>
      <c r="Q52" s="21"/>
      <c r="R52" s="30">
        <f t="shared" ref="R52:R89" si="16">IF(P$12=0,0,P52/P$12)</f>
        <v>8.9517065132888943E-2</v>
      </c>
      <c r="S52" s="21"/>
      <c r="T52" s="21" cm="1">
        <f t="array" ref="T52">SUM(OSRRefT22x_0)</f>
        <v>107108.01999999997</v>
      </c>
      <c r="U52" s="21"/>
      <c r="V52" s="30">
        <f t="shared" ref="V52:V89" si="17">IF(T$12=0,0,T52/T$12)</f>
        <v>6.7343577173858901E-2</v>
      </c>
      <c r="W52" s="5"/>
      <c r="X52" s="21">
        <f t="shared" ref="X52:X89" si="18">+P52-T52</f>
        <v>8707.0400000000373</v>
      </c>
      <c r="Y52" s="5"/>
      <c r="Z52" s="30">
        <f t="shared" ref="Z52:Z89" si="19">IF(T52=0,0,X52/T52)</f>
        <v>8.1292138534537747E-2</v>
      </c>
    </row>
    <row r="53" spans="1:26" s="68" customFormat="1" ht="15" customHeight="1" outlineLevel="1" collapsed="1" x14ac:dyDescent="0.3">
      <c r="A53" s="25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5158.8</v>
      </c>
      <c r="E53" s="2"/>
      <c r="F53" s="6">
        <f t="shared" si="12"/>
        <v>3.010693424184048E-2</v>
      </c>
      <c r="G53" s="2"/>
      <c r="H53" s="2">
        <f>SUM(OSRRefH22_0x_0)</f>
        <v>2731.1200000000003</v>
      </c>
      <c r="I53" s="2"/>
      <c r="J53" s="6">
        <f t="shared" si="13"/>
        <v>1.4688584233823382E-2</v>
      </c>
      <c r="K53" s="2"/>
      <c r="L53" s="2">
        <f t="shared" si="14"/>
        <v>2427.6799999999998</v>
      </c>
      <c r="M53" s="2"/>
      <c r="N53" s="6">
        <f t="shared" si="15"/>
        <v>0.88889539822490393</v>
      </c>
      <c r="O53" s="14"/>
      <c r="P53" s="2">
        <f>SUM(OSRRefP22_0x_0)</f>
        <v>19968.349999999995</v>
      </c>
      <c r="Q53" s="2"/>
      <c r="R53" s="6">
        <f t="shared" si="16"/>
        <v>1.5434159318713149E-2</v>
      </c>
      <c r="S53" s="2"/>
      <c r="T53" s="2">
        <f>SUM(OSRRefT22_0x_0)</f>
        <v>23297.929999999997</v>
      </c>
      <c r="U53" s="2"/>
      <c r="V53" s="6">
        <f t="shared" si="17"/>
        <v>1.4648445064582117E-2</v>
      </c>
      <c r="W53" s="2"/>
      <c r="X53" s="2">
        <f t="shared" si="18"/>
        <v>-3329.5800000000017</v>
      </c>
      <c r="Y53" s="2"/>
      <c r="Z53" s="6">
        <f t="shared" si="19"/>
        <v>-0.14291312575838291</v>
      </c>
    </row>
    <row r="54" spans="1:26" s="69" customFormat="1" ht="15" hidden="1" customHeight="1" outlineLevel="2" x14ac:dyDescent="0.3">
      <c r="A54" s="26"/>
      <c r="B54" s="12" t="str">
        <f>CONCATENATE("          ","6111"," - ","F.I.C.A.")</f>
        <v xml:space="preserve">          6111 - F.I.C.A.</v>
      </c>
      <c r="C54" s="12"/>
      <c r="D54" s="8">
        <v>523.23</v>
      </c>
      <c r="E54" s="3"/>
      <c r="F54" s="7">
        <f t="shared" si="12"/>
        <v>3.0535882769942998E-3</v>
      </c>
      <c r="G54" s="3"/>
      <c r="H54" s="8">
        <v>449.24</v>
      </c>
      <c r="I54" s="3"/>
      <c r="J54" s="7">
        <f t="shared" si="13"/>
        <v>2.4161148470967279E-3</v>
      </c>
      <c r="K54" s="3"/>
      <c r="L54" s="8">
        <f t="shared" si="14"/>
        <v>73.990000000000009</v>
      </c>
      <c r="M54" s="3"/>
      <c r="N54" s="7">
        <f t="shared" si="15"/>
        <v>0.16470038286884517</v>
      </c>
      <c r="O54" s="12"/>
      <c r="P54" s="8">
        <v>4287.54</v>
      </c>
      <c r="Q54" s="3"/>
      <c r="R54" s="7">
        <f t="shared" si="16"/>
        <v>3.3139731347535169E-3</v>
      </c>
      <c r="S54" s="3"/>
      <c r="T54" s="8">
        <v>4288.84</v>
      </c>
      <c r="U54" s="3"/>
      <c r="V54" s="7">
        <f t="shared" si="17"/>
        <v>2.6965845090436095E-3</v>
      </c>
      <c r="W54" s="3"/>
      <c r="X54" s="8">
        <f t="shared" si="18"/>
        <v>-1.3000000000001819</v>
      </c>
      <c r="Y54" s="3"/>
      <c r="Z54" s="7">
        <f t="shared" si="19"/>
        <v>-3.0311226345589525E-4</v>
      </c>
    </row>
    <row r="55" spans="1:26" s="69" customFormat="1" ht="15" hidden="1" customHeight="1" outlineLevel="2" x14ac:dyDescent="0.3">
      <c r="A55" s="26"/>
      <c r="B55" s="12" t="str">
        <f>CONCATENATE("          ","6112"," - ","COMPENSATION INSURANCE")</f>
        <v xml:space="preserve">          6112 - COMPENSATION INSURANCE</v>
      </c>
      <c r="C55" s="12"/>
      <c r="D55" s="8">
        <v>150.32</v>
      </c>
      <c r="E55" s="3"/>
      <c r="F55" s="7">
        <f t="shared" si="12"/>
        <v>8.7727269039960078E-4</v>
      </c>
      <c r="G55" s="3"/>
      <c r="H55" s="8">
        <v>145.49</v>
      </c>
      <c r="I55" s="3"/>
      <c r="J55" s="7">
        <f t="shared" si="13"/>
        <v>7.8247829468458497E-4</v>
      </c>
      <c r="K55" s="3"/>
      <c r="L55" s="8">
        <f t="shared" si="14"/>
        <v>4.8299999999999841</v>
      </c>
      <c r="M55" s="3"/>
      <c r="N55" s="7">
        <f t="shared" si="15"/>
        <v>3.3198157948999822E-2</v>
      </c>
      <c r="O55" s="12"/>
      <c r="P55" s="8">
        <v>1149.3499999999999</v>
      </c>
      <c r="Q55" s="3"/>
      <c r="R55" s="7">
        <f t="shared" si="16"/>
        <v>8.883683936310692E-4</v>
      </c>
      <c r="S55" s="3"/>
      <c r="T55" s="8">
        <v>1174.21</v>
      </c>
      <c r="U55" s="3"/>
      <c r="V55" s="7">
        <f t="shared" si="17"/>
        <v>7.382780650162041E-4</v>
      </c>
      <c r="W55" s="3"/>
      <c r="X55" s="8">
        <f t="shared" si="18"/>
        <v>-24.860000000000127</v>
      </c>
      <c r="Y55" s="3"/>
      <c r="Z55" s="7">
        <f t="shared" si="19"/>
        <v>-2.1171681385782889E-2</v>
      </c>
    </row>
    <row r="56" spans="1:26" s="69" customFormat="1" ht="15" hidden="1" customHeight="1" outlineLevel="2" x14ac:dyDescent="0.3">
      <c r="A56" s="26"/>
      <c r="B56" s="12" t="str">
        <f>CONCATENATE("          ","6113"," - ","GROUP INSURANCE")</f>
        <v xml:space="preserve">          6113 - GROUP INSURANCE</v>
      </c>
      <c r="C56" s="12"/>
      <c r="D56" s="8">
        <v>1539.12</v>
      </c>
      <c r="E56" s="3"/>
      <c r="F56" s="7">
        <f t="shared" si="12"/>
        <v>8.9823572594986256E-3</v>
      </c>
      <c r="G56" s="3"/>
      <c r="H56" s="8">
        <v>1053.8499999999999</v>
      </c>
      <c r="I56" s="3"/>
      <c r="J56" s="7">
        <f t="shared" si="13"/>
        <v>5.6678448749285151E-3</v>
      </c>
      <c r="K56" s="3"/>
      <c r="L56" s="8">
        <f t="shared" si="14"/>
        <v>485.27</v>
      </c>
      <c r="M56" s="3"/>
      <c r="N56" s="7">
        <f t="shared" si="15"/>
        <v>0.46047350192152586</v>
      </c>
      <c r="O56" s="12"/>
      <c r="P56" s="8">
        <v>6828.65</v>
      </c>
      <c r="Q56" s="3"/>
      <c r="R56" s="7">
        <f t="shared" si="16"/>
        <v>5.2780761571051471E-3</v>
      </c>
      <c r="S56" s="3"/>
      <c r="T56" s="8">
        <v>8322.48</v>
      </c>
      <c r="U56" s="3"/>
      <c r="V56" s="7">
        <f t="shared" si="17"/>
        <v>5.2327134248014049E-3</v>
      </c>
      <c r="W56" s="3"/>
      <c r="X56" s="8">
        <f t="shared" si="18"/>
        <v>-1493.83</v>
      </c>
      <c r="Y56" s="3"/>
      <c r="Z56" s="7">
        <f t="shared" si="19"/>
        <v>-0.1794933721679115</v>
      </c>
    </row>
    <row r="57" spans="1:26" s="69" customFormat="1" ht="15" hidden="1" customHeight="1" outlineLevel="2" x14ac:dyDescent="0.3">
      <c r="A57" s="26"/>
      <c r="B57" s="12" t="str">
        <f>CONCATENATE("          ","6114"," - ","STATE UNEMPLOYMENT INSURANCE")</f>
        <v xml:space="preserve">          6114 - STATE UNEMPLOYMENT INSURANCE</v>
      </c>
      <c r="C57" s="12"/>
      <c r="D57" s="8">
        <v>26.41</v>
      </c>
      <c r="E57" s="3"/>
      <c r="F57" s="7">
        <f t="shared" si="12"/>
        <v>1.5412966839710923E-4</v>
      </c>
      <c r="G57" s="3"/>
      <c r="H57" s="8">
        <v>20.45</v>
      </c>
      <c r="I57" s="3"/>
      <c r="J57" s="7">
        <f t="shared" si="13"/>
        <v>1.0998474896075166E-4</v>
      </c>
      <c r="K57" s="3"/>
      <c r="L57" s="8">
        <f t="shared" si="14"/>
        <v>5.9600000000000009</v>
      </c>
      <c r="M57" s="3"/>
      <c r="N57" s="7">
        <f t="shared" si="15"/>
        <v>0.2914425427872861</v>
      </c>
      <c r="O57" s="12"/>
      <c r="P57" s="8">
        <v>201.92</v>
      </c>
      <c r="Q57" s="3"/>
      <c r="R57" s="7">
        <f t="shared" si="16"/>
        <v>1.5607025365814198E-4</v>
      </c>
      <c r="S57" s="3"/>
      <c r="T57" s="8">
        <v>179.73</v>
      </c>
      <c r="U57" s="3"/>
      <c r="V57" s="7">
        <f t="shared" si="17"/>
        <v>1.1300424679176837E-4</v>
      </c>
      <c r="W57" s="3"/>
      <c r="X57" s="8">
        <f t="shared" si="18"/>
        <v>22.189999999999998</v>
      </c>
      <c r="Y57" s="3"/>
      <c r="Z57" s="7">
        <f t="shared" si="19"/>
        <v>0.12346297223613197</v>
      </c>
    </row>
    <row r="58" spans="1:26" s="69" customFormat="1" ht="15" hidden="1" customHeight="1" outlineLevel="2" x14ac:dyDescent="0.3">
      <c r="A58" s="26"/>
      <c r="B58" s="12" t="str">
        <f>CONCATENATE("          ","6115"," - ","P.E.R.S.")</f>
        <v xml:space="preserve">          6115 - P.E.R.S.</v>
      </c>
      <c r="C58" s="12"/>
      <c r="D58" s="8">
        <v>123.87</v>
      </c>
      <c r="E58" s="3"/>
      <c r="F58" s="7">
        <f t="shared" si="12"/>
        <v>7.2290958062665351E-4</v>
      </c>
      <c r="G58" s="3"/>
      <c r="H58" s="8">
        <v>176.42</v>
      </c>
      <c r="I58" s="3"/>
      <c r="J58" s="7">
        <f t="shared" si="13"/>
        <v>9.4882686609563862E-4</v>
      </c>
      <c r="K58" s="3"/>
      <c r="L58" s="8">
        <f t="shared" si="14"/>
        <v>-52.549999999999983</v>
      </c>
      <c r="M58" s="3"/>
      <c r="N58" s="7">
        <f t="shared" si="15"/>
        <v>-0.29786872236707851</v>
      </c>
      <c r="O58" s="12"/>
      <c r="P58" s="8">
        <v>914.81</v>
      </c>
      <c r="Q58" s="3"/>
      <c r="R58" s="7">
        <f t="shared" si="16"/>
        <v>7.0708512653033318E-4</v>
      </c>
      <c r="S58" s="3"/>
      <c r="T58" s="8">
        <v>1587.78</v>
      </c>
      <c r="U58" s="3"/>
      <c r="V58" s="7">
        <f t="shared" si="17"/>
        <v>9.9830792283444052E-4</v>
      </c>
      <c r="W58" s="3"/>
      <c r="X58" s="8">
        <f t="shared" si="18"/>
        <v>-672.97</v>
      </c>
      <c r="Y58" s="3"/>
      <c r="Z58" s="7">
        <f t="shared" si="19"/>
        <v>-0.42384335361322101</v>
      </c>
    </row>
    <row r="59" spans="1:26" s="69" customFormat="1" ht="15" hidden="1" customHeight="1" outlineLevel="2" x14ac:dyDescent="0.3">
      <c r="A59" s="26"/>
      <c r="B59" s="12" t="str">
        <f>CONCATENATE("          ","6117"," - ","RETIREMENT STAFF HOURLY")</f>
        <v xml:space="preserve">          6117 - RETIREMENT STAFF HOURLY</v>
      </c>
      <c r="C59" s="12"/>
      <c r="D59" s="8">
        <v>120</v>
      </c>
      <c r="E59" s="3"/>
      <c r="F59" s="7">
        <f t="shared" si="12"/>
        <v>7.0032412751431681E-4</v>
      </c>
      <c r="G59" s="3"/>
      <c r="H59" s="8">
        <v>176</v>
      </c>
      <c r="I59" s="3"/>
      <c r="J59" s="7">
        <f t="shared" si="13"/>
        <v>9.4656801061576007E-4</v>
      </c>
      <c r="K59" s="3"/>
      <c r="L59" s="8">
        <f t="shared" si="14"/>
        <v>-56</v>
      </c>
      <c r="M59" s="3"/>
      <c r="N59" s="7">
        <f t="shared" si="15"/>
        <v>-0.31818181818181818</v>
      </c>
      <c r="O59" s="12"/>
      <c r="P59" s="8">
        <v>-117.34</v>
      </c>
      <c r="Q59" s="3"/>
      <c r="R59" s="7">
        <f t="shared" si="16"/>
        <v>-9.0695738729429392E-5</v>
      </c>
      <c r="S59" s="3"/>
      <c r="T59" s="8">
        <v>1457.04</v>
      </c>
      <c r="U59" s="3"/>
      <c r="V59" s="7">
        <f t="shared" si="17"/>
        <v>9.1610586849985088E-4</v>
      </c>
      <c r="W59" s="3"/>
      <c r="X59" s="8">
        <f t="shared" si="18"/>
        <v>-1574.3799999999999</v>
      </c>
      <c r="Y59" s="3"/>
      <c r="Z59" s="7">
        <f t="shared" si="19"/>
        <v>-1.080533135672322</v>
      </c>
    </row>
    <row r="60" spans="1:26" s="69" customFormat="1" ht="15" hidden="1" customHeight="1" outlineLevel="2" x14ac:dyDescent="0.3">
      <c r="A60" s="26"/>
      <c r="B60" s="12" t="str">
        <f>CONCATENATE("          ","6118"," - ","VACATION")</f>
        <v xml:space="preserve">          6118 - VACATION</v>
      </c>
      <c r="C60" s="12"/>
      <c r="D60" s="8">
        <v>917.55</v>
      </c>
      <c r="E60" s="3"/>
      <c r="F60" s="7">
        <f t="shared" si="12"/>
        <v>5.3548533600063447E-3</v>
      </c>
      <c r="G60" s="3"/>
      <c r="H60" s="8">
        <v>267.04000000000002</v>
      </c>
      <c r="I60" s="3"/>
      <c r="J60" s="7">
        <f t="shared" si="13"/>
        <v>1.4362018270160943E-3</v>
      </c>
      <c r="K60" s="3"/>
      <c r="L60" s="8">
        <f t="shared" si="14"/>
        <v>650.51</v>
      </c>
      <c r="M60" s="3"/>
      <c r="N60" s="7">
        <f t="shared" si="15"/>
        <v>2.4360020970641099</v>
      </c>
      <c r="O60" s="12"/>
      <c r="P60" s="8">
        <v>2292.9699999999998</v>
      </c>
      <c r="Q60" s="3"/>
      <c r="R60" s="7">
        <f t="shared" si="16"/>
        <v>1.7723078918904013E-3</v>
      </c>
      <c r="S60" s="3"/>
      <c r="T60" s="8">
        <v>2223.62</v>
      </c>
      <c r="U60" s="3"/>
      <c r="V60" s="7">
        <f t="shared" si="17"/>
        <v>1.398088817955333E-3</v>
      </c>
      <c r="W60" s="3"/>
      <c r="X60" s="8">
        <f t="shared" si="18"/>
        <v>69.349999999999909</v>
      </c>
      <c r="Y60" s="3"/>
      <c r="Z60" s="7">
        <f t="shared" si="19"/>
        <v>3.1187882821705107E-2</v>
      </c>
    </row>
    <row r="61" spans="1:26" s="69" customFormat="1" ht="15" hidden="1" customHeight="1" outlineLevel="2" x14ac:dyDescent="0.3">
      <c r="A61" s="26"/>
      <c r="B61" s="12" t="str">
        <f>CONCATENATE("          ","6119"," - ","SICK LEAVE")</f>
        <v xml:space="preserve">          6119 - SICK LEAVE</v>
      </c>
      <c r="C61" s="12"/>
      <c r="D61" s="8">
        <v>1533.28</v>
      </c>
      <c r="E61" s="3"/>
      <c r="F61" s="7">
        <f t="shared" si="12"/>
        <v>8.9482748186262631E-3</v>
      </c>
      <c r="G61" s="3"/>
      <c r="H61" s="8">
        <v>267.63</v>
      </c>
      <c r="I61" s="3"/>
      <c r="J61" s="7">
        <f t="shared" si="13"/>
        <v>1.4393749811425901E-3</v>
      </c>
      <c r="K61" s="3"/>
      <c r="L61" s="8">
        <f t="shared" si="14"/>
        <v>1265.6500000000001</v>
      </c>
      <c r="M61" s="3"/>
      <c r="N61" s="7">
        <f t="shared" si="15"/>
        <v>4.7291036131973252</v>
      </c>
      <c r="O61" s="12"/>
      <c r="P61" s="8">
        <v>3074.44</v>
      </c>
      <c r="Q61" s="3"/>
      <c r="R61" s="7">
        <f t="shared" si="16"/>
        <v>2.3763303816201372E-3</v>
      </c>
      <c r="S61" s="3"/>
      <c r="T61" s="8">
        <v>2219.5500000000002</v>
      </c>
      <c r="U61" s="3"/>
      <c r="V61" s="7">
        <f t="shared" si="17"/>
        <v>1.3955298278899991E-3</v>
      </c>
      <c r="W61" s="3"/>
      <c r="X61" s="8">
        <f t="shared" si="18"/>
        <v>854.88999999999987</v>
      </c>
      <c r="Y61" s="3"/>
      <c r="Z61" s="7">
        <f t="shared" si="19"/>
        <v>0.38516365930030855</v>
      </c>
    </row>
    <row r="62" spans="1:26" s="69" customFormat="1" ht="15" hidden="1" customHeight="1" outlineLevel="2" x14ac:dyDescent="0.3">
      <c r="A62" s="26"/>
      <c r="B62" s="12" t="str">
        <f>CONCATENATE("          ","6156"," - ","EMPLOYEE MEALS")</f>
        <v xml:space="preserve">          6156 - EMPLOYEE MEALS</v>
      </c>
      <c r="C62" s="12"/>
      <c r="D62" s="8">
        <v>225.02</v>
      </c>
      <c r="E62" s="3"/>
      <c r="F62" s="7">
        <f t="shared" si="12"/>
        <v>1.3132244597772631E-3</v>
      </c>
      <c r="G62" s="3"/>
      <c r="H62" s="8">
        <v>175</v>
      </c>
      <c r="I62" s="3"/>
      <c r="J62" s="7">
        <f t="shared" si="13"/>
        <v>9.4118978328271608E-4</v>
      </c>
      <c r="K62" s="3"/>
      <c r="L62" s="8">
        <f t="shared" si="14"/>
        <v>50.02000000000001</v>
      </c>
      <c r="M62" s="3"/>
      <c r="N62" s="7">
        <f t="shared" si="15"/>
        <v>0.28582857142857149</v>
      </c>
      <c r="O62" s="12"/>
      <c r="P62" s="8">
        <v>1336.01</v>
      </c>
      <c r="Q62" s="3"/>
      <c r="R62" s="7">
        <f t="shared" si="16"/>
        <v>1.0326437182538346E-3</v>
      </c>
      <c r="S62" s="3"/>
      <c r="T62" s="8">
        <v>1844.68</v>
      </c>
      <c r="U62" s="3"/>
      <c r="V62" s="7">
        <f t="shared" si="17"/>
        <v>1.1598323817495094E-3</v>
      </c>
      <c r="W62" s="3"/>
      <c r="X62" s="8">
        <f t="shared" si="18"/>
        <v>-508.67000000000007</v>
      </c>
      <c r="Y62" s="3"/>
      <c r="Z62" s="7">
        <f t="shared" si="19"/>
        <v>-0.27574972352928423</v>
      </c>
    </row>
    <row r="63" spans="1:26" s="68" customFormat="1" ht="15" customHeight="1" outlineLevel="1" collapsed="1" x14ac:dyDescent="0.3">
      <c r="A63" s="25"/>
      <c r="B63" s="14" t="str">
        <f>CONCATENATE("     ","*Payroll                                          ")</f>
        <v xml:space="preserve">     *Payroll                                          </v>
      </c>
      <c r="C63" s="14"/>
      <c r="D63" s="2">
        <f>SUM(OSRRefD22_1x_0)</f>
        <v>9615.25</v>
      </c>
      <c r="E63" s="2"/>
      <c r="F63" s="6">
        <f t="shared" si="12"/>
        <v>5.6114929725683618E-2</v>
      </c>
      <c r="G63" s="2"/>
      <c r="H63" s="2">
        <f>SUM(OSRRefH22_1x_0)</f>
        <v>8014.16</v>
      </c>
      <c r="I63" s="2"/>
      <c r="J63" s="6">
        <f t="shared" si="13"/>
        <v>4.3101974363388633E-2</v>
      </c>
      <c r="K63" s="2"/>
      <c r="L63" s="2">
        <f t="shared" si="14"/>
        <v>1601.0900000000001</v>
      </c>
      <c r="M63" s="2"/>
      <c r="N63" s="6">
        <f t="shared" si="15"/>
        <v>0.19978263473651639</v>
      </c>
      <c r="O63" s="14"/>
      <c r="P63" s="2">
        <f>SUM(OSRRefP22_1x_0)</f>
        <v>81076.990000000005</v>
      </c>
      <c r="Q63" s="2"/>
      <c r="R63" s="6">
        <f t="shared" si="16"/>
        <v>6.2666929452944942E-2</v>
      </c>
      <c r="S63" s="2"/>
      <c r="T63" s="2">
        <f>SUM(OSRRefT22_1x_0)</f>
        <v>65405.46</v>
      </c>
      <c r="U63" s="2"/>
      <c r="V63" s="6">
        <f t="shared" si="17"/>
        <v>4.112332244683211E-2</v>
      </c>
      <c r="W63" s="2"/>
      <c r="X63" s="2">
        <f t="shared" si="18"/>
        <v>15671.530000000006</v>
      </c>
      <c r="Y63" s="2"/>
      <c r="Z63" s="6">
        <f t="shared" si="19"/>
        <v>0.23960583718851616</v>
      </c>
    </row>
    <row r="64" spans="1:26" s="69" customFormat="1" ht="15" hidden="1" customHeight="1" outlineLevel="2" x14ac:dyDescent="0.3">
      <c r="A64" s="26"/>
      <c r="B64" s="12" t="str">
        <f>CONCATENATE("          ","6002"," - ","STAFF SALARIES")</f>
        <v xml:space="preserve">          6002 - STAFF SALARIES</v>
      </c>
      <c r="C64" s="12"/>
      <c r="D64" s="8">
        <v>1700</v>
      </c>
      <c r="E64" s="3"/>
      <c r="F64" s="7">
        <f t="shared" si="12"/>
        <v>9.9212584731194868E-3</v>
      </c>
      <c r="G64" s="3"/>
      <c r="H64" s="8">
        <v>2357.3000000000002</v>
      </c>
      <c r="I64" s="3"/>
      <c r="J64" s="7">
        <f t="shared" si="13"/>
        <v>1.2678095292184837E-2</v>
      </c>
      <c r="K64" s="3"/>
      <c r="L64" s="8">
        <f t="shared" si="14"/>
        <v>-657.30000000000018</v>
      </c>
      <c r="M64" s="3"/>
      <c r="N64" s="7">
        <f t="shared" si="15"/>
        <v>-0.27883595639078612</v>
      </c>
      <c r="O64" s="12"/>
      <c r="P64" s="8">
        <v>14952.94</v>
      </c>
      <c r="Q64" s="3"/>
      <c r="R64" s="7">
        <f t="shared" si="16"/>
        <v>1.1557592802768314E-2</v>
      </c>
      <c r="S64" s="3"/>
      <c r="T64" s="8">
        <v>18522.95</v>
      </c>
      <c r="U64" s="3"/>
      <c r="V64" s="7">
        <f t="shared" si="17"/>
        <v>1.164620271024084E-2</v>
      </c>
      <c r="W64" s="3"/>
      <c r="X64" s="8">
        <f t="shared" si="18"/>
        <v>-3570.01</v>
      </c>
      <c r="Y64" s="3"/>
      <c r="Z64" s="7">
        <f t="shared" si="19"/>
        <v>-0.19273441865361621</v>
      </c>
    </row>
    <row r="65" spans="1:26" s="69" customFormat="1" ht="15" hidden="1" customHeight="1" outlineLevel="2" x14ac:dyDescent="0.3">
      <c r="A65" s="26"/>
      <c r="B65" s="12" t="str">
        <f>CONCATENATE("          ","6004"," - ","STAFF HOURLY")</f>
        <v xml:space="preserve">          6004 - STAFF HOURLY</v>
      </c>
      <c r="C65" s="12"/>
      <c r="D65" s="8">
        <v>4089.69</v>
      </c>
      <c r="E65" s="3"/>
      <c r="F65" s="7">
        <f t="shared" si="12"/>
        <v>2.3867571508783551E-2</v>
      </c>
      <c r="G65" s="3"/>
      <c r="H65" s="8">
        <v>3520</v>
      </c>
      <c r="I65" s="3"/>
      <c r="J65" s="7">
        <f t="shared" si="13"/>
        <v>1.8931360212315201E-2</v>
      </c>
      <c r="K65" s="3"/>
      <c r="L65" s="8">
        <f t="shared" si="14"/>
        <v>569.69000000000005</v>
      </c>
      <c r="M65" s="3"/>
      <c r="N65" s="7">
        <f t="shared" si="15"/>
        <v>0.16184375000000001</v>
      </c>
      <c r="O65" s="12"/>
      <c r="P65" s="8">
        <v>24983.15</v>
      </c>
      <c r="Q65" s="3"/>
      <c r="R65" s="7">
        <f t="shared" si="16"/>
        <v>1.9310254346669029E-2</v>
      </c>
      <c r="S65" s="3"/>
      <c r="T65" s="8">
        <v>28200.16</v>
      </c>
      <c r="U65" s="3"/>
      <c r="V65" s="7">
        <f t="shared" si="17"/>
        <v>1.7730695154995577E-2</v>
      </c>
      <c r="W65" s="3"/>
      <c r="X65" s="8">
        <f t="shared" si="18"/>
        <v>-3217.0099999999984</v>
      </c>
      <c r="Y65" s="3"/>
      <c r="Z65" s="7">
        <f t="shared" si="19"/>
        <v>-0.11407772154484225</v>
      </c>
    </row>
    <row r="66" spans="1:26" s="69" customFormat="1" ht="15" hidden="1" customHeight="1" outlineLevel="2" x14ac:dyDescent="0.3">
      <c r="A66" s="26"/>
      <c r="B66" s="12" t="str">
        <f>CONCATENATE("          ","6005"," - ","TEMPORARY WAGES-HOURLY")</f>
        <v xml:space="preserve">          6005 - TEMPORARY WAGES-HOURLY</v>
      </c>
      <c r="C66" s="12"/>
      <c r="D66" s="8">
        <v>2308.37</v>
      </c>
      <c r="E66" s="3"/>
      <c r="F66" s="7">
        <f t="shared" si="12"/>
        <v>1.3471726718585195E-2</v>
      </c>
      <c r="G66" s="3"/>
      <c r="H66" s="8"/>
      <c r="I66" s="3"/>
      <c r="J66" s="7">
        <f t="shared" si="13"/>
        <v>0</v>
      </c>
      <c r="K66" s="3"/>
      <c r="L66" s="8">
        <f t="shared" si="14"/>
        <v>2308.37</v>
      </c>
      <c r="M66" s="3"/>
      <c r="N66" s="7">
        <f t="shared" si="15"/>
        <v>0</v>
      </c>
      <c r="O66" s="12"/>
      <c r="P66" s="8">
        <v>10542.18</v>
      </c>
      <c r="Q66" s="3"/>
      <c r="R66" s="7">
        <f t="shared" si="16"/>
        <v>8.1483790942442121E-3</v>
      </c>
      <c r="S66" s="3"/>
      <c r="T66" s="8"/>
      <c r="U66" s="3"/>
      <c r="V66" s="7">
        <f t="shared" si="17"/>
        <v>0</v>
      </c>
      <c r="W66" s="3"/>
      <c r="X66" s="8">
        <f t="shared" si="18"/>
        <v>10542.18</v>
      </c>
      <c r="Y66" s="3"/>
      <c r="Z66" s="7">
        <f t="shared" si="19"/>
        <v>0</v>
      </c>
    </row>
    <row r="67" spans="1:26" s="69" customFormat="1" ht="15" hidden="1" customHeight="1" outlineLevel="2" x14ac:dyDescent="0.3">
      <c r="A67" s="26"/>
      <c r="B67" s="12" t="str">
        <f>CONCATENATE("          ","6007"," - ","STUDENT HOURLY")</f>
        <v xml:space="preserve">          6007 - STUDENT HOURLY</v>
      </c>
      <c r="C67" s="12"/>
      <c r="D67" s="8">
        <v>1517.19</v>
      </c>
      <c r="E67" s="3"/>
      <c r="F67" s="7">
        <f t="shared" si="12"/>
        <v>8.8543730251953862E-3</v>
      </c>
      <c r="G67" s="3"/>
      <c r="H67" s="8">
        <v>2136.86</v>
      </c>
      <c r="I67" s="3"/>
      <c r="J67" s="7">
        <f t="shared" si="13"/>
        <v>1.1492518858888598E-2</v>
      </c>
      <c r="K67" s="3"/>
      <c r="L67" s="8">
        <f t="shared" si="14"/>
        <v>-619.67000000000007</v>
      </c>
      <c r="M67" s="3"/>
      <c r="N67" s="7">
        <f t="shared" si="15"/>
        <v>-0.2899909212582949</v>
      </c>
      <c r="O67" s="12"/>
      <c r="P67" s="8">
        <v>24453.09</v>
      </c>
      <c r="Q67" s="3"/>
      <c r="R67" s="7">
        <f t="shared" si="16"/>
        <v>1.8900554472193815E-2</v>
      </c>
      <c r="S67" s="3"/>
      <c r="T67" s="8">
        <v>18682.349999999999</v>
      </c>
      <c r="U67" s="3"/>
      <c r="V67" s="7">
        <f t="shared" si="17"/>
        <v>1.1746424581595692E-2</v>
      </c>
      <c r="W67" s="3"/>
      <c r="X67" s="8">
        <f t="shared" si="18"/>
        <v>5770.7400000000016</v>
      </c>
      <c r="Y67" s="3"/>
      <c r="Z67" s="7">
        <f t="shared" si="19"/>
        <v>0.30888726525303306</v>
      </c>
    </row>
    <row r="68" spans="1:26" s="69" customFormat="1" ht="15" hidden="1" customHeight="1" outlineLevel="2" x14ac:dyDescent="0.3">
      <c r="A68" s="26"/>
      <c r="B68" s="12" t="str">
        <f>CONCATENATE("          ","6008"," - ","STUDENT HOURLY-FICA EXEMPT")</f>
        <v xml:space="preserve">          6008 - STUDENT HOURLY-FICA EXEMPT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>
        <v>6145.63</v>
      </c>
      <c r="Q68" s="3"/>
      <c r="R68" s="7">
        <f t="shared" si="16"/>
        <v>4.7501487370695678E-3</v>
      </c>
      <c r="S68" s="3"/>
      <c r="T68" s="8"/>
      <c r="U68" s="3"/>
      <c r="V68" s="7">
        <f t="shared" si="17"/>
        <v>0</v>
      </c>
      <c r="W68" s="3"/>
      <c r="X68" s="8">
        <f t="shared" si="18"/>
        <v>6145.63</v>
      </c>
      <c r="Y68" s="3"/>
      <c r="Z68" s="7">
        <f t="shared" si="19"/>
        <v>0</v>
      </c>
    </row>
    <row r="69" spans="1:26" s="68" customFormat="1" ht="15" customHeight="1" outlineLevel="1" collapsed="1" x14ac:dyDescent="0.3">
      <c r="A69" s="25"/>
      <c r="B69" s="14" t="str">
        <f>CONCATENATE("     ","Advertising/Promo                                 ")</f>
        <v xml:space="preserve">     Advertising/Promo                                 </v>
      </c>
      <c r="C69" s="14"/>
      <c r="D69" s="2">
        <f>SUM(OSRRefD22_2x_0)</f>
        <v>30.19</v>
      </c>
      <c r="E69" s="2"/>
      <c r="F69" s="6">
        <f t="shared" si="12"/>
        <v>1.7618987841381021E-4</v>
      </c>
      <c r="G69" s="2"/>
      <c r="H69" s="2">
        <f>SUM(OSRRefH22_2x_0)</f>
        <v>0</v>
      </c>
      <c r="I69" s="2"/>
      <c r="J69" s="6">
        <f t="shared" si="13"/>
        <v>0</v>
      </c>
      <c r="K69" s="2"/>
      <c r="L69" s="2">
        <f t="shared" si="14"/>
        <v>30.19</v>
      </c>
      <c r="M69" s="2"/>
      <c r="N69" s="6">
        <f t="shared" si="15"/>
        <v>0</v>
      </c>
      <c r="O69" s="14"/>
      <c r="P69" s="2">
        <f>SUM(OSRRefP22_2x_0)</f>
        <v>176.99</v>
      </c>
      <c r="Q69" s="2"/>
      <c r="R69" s="6">
        <f t="shared" si="16"/>
        <v>1.3680108060100315E-4</v>
      </c>
      <c r="S69" s="2"/>
      <c r="T69" s="2">
        <f>SUM(OSRRefT22_2x_0)</f>
        <v>598.92999999999995</v>
      </c>
      <c r="U69" s="2"/>
      <c r="V69" s="6">
        <f t="shared" si="17"/>
        <v>3.7657393607630241E-4</v>
      </c>
      <c r="W69" s="2"/>
      <c r="X69" s="2">
        <f t="shared" si="18"/>
        <v>-421.93999999999994</v>
      </c>
      <c r="Y69" s="2"/>
      <c r="Z69" s="6">
        <f t="shared" si="19"/>
        <v>-0.70448967325063028</v>
      </c>
    </row>
    <row r="70" spans="1:26" s="69" customFormat="1" ht="15" hidden="1" customHeight="1" outlineLevel="2" x14ac:dyDescent="0.3">
      <c r="A70" s="26"/>
      <c r="B70" s="12" t="str">
        <f>CONCATENATE("          ","6362"," - ","ADVERTISING EXPENSE")</f>
        <v xml:space="preserve">          6362 - ADVERTISING EXPENSE</v>
      </c>
      <c r="C70" s="12"/>
      <c r="D70" s="8">
        <v>30.19</v>
      </c>
      <c r="E70" s="3"/>
      <c r="F70" s="7">
        <f t="shared" si="12"/>
        <v>1.7618987841381021E-4</v>
      </c>
      <c r="G70" s="3"/>
      <c r="H70" s="8"/>
      <c r="I70" s="3"/>
      <c r="J70" s="7">
        <f t="shared" si="13"/>
        <v>0</v>
      </c>
      <c r="K70" s="3"/>
      <c r="L70" s="8">
        <f t="shared" si="14"/>
        <v>30.19</v>
      </c>
      <c r="M70" s="3"/>
      <c r="N70" s="7">
        <f t="shared" si="15"/>
        <v>0</v>
      </c>
      <c r="O70" s="12"/>
      <c r="P70" s="8">
        <v>176.99</v>
      </c>
      <c r="Q70" s="3"/>
      <c r="R70" s="7">
        <f t="shared" si="16"/>
        <v>1.3680108060100315E-4</v>
      </c>
      <c r="S70" s="3"/>
      <c r="T70" s="8">
        <v>598.92999999999995</v>
      </c>
      <c r="U70" s="3"/>
      <c r="V70" s="7">
        <f t="shared" si="17"/>
        <v>3.7657393607630241E-4</v>
      </c>
      <c r="W70" s="3"/>
      <c r="X70" s="8">
        <f t="shared" si="18"/>
        <v>-421.93999999999994</v>
      </c>
      <c r="Y70" s="3"/>
      <c r="Z70" s="7">
        <f t="shared" si="19"/>
        <v>-0.70448967325063028</v>
      </c>
    </row>
    <row r="71" spans="1:26" s="68" customFormat="1" ht="15" customHeight="1" outlineLevel="1" collapsed="1" x14ac:dyDescent="0.3">
      <c r="A71" s="25"/>
      <c r="B71" s="14" t="str">
        <f>CONCATENATE("     ","Depreciation                                      ")</f>
        <v xml:space="preserve">     Depreciation                                      </v>
      </c>
      <c r="C71" s="14"/>
      <c r="D71" s="2">
        <f>SUM(OSRRefD22_3x_0)</f>
        <v>280.44</v>
      </c>
      <c r="E71" s="2"/>
      <c r="F71" s="6">
        <f t="shared" si="12"/>
        <v>1.6366574860009584E-3</v>
      </c>
      <c r="G71" s="2"/>
      <c r="H71" s="2">
        <f>SUM(OSRRefH22_3x_0)</f>
        <v>280.44</v>
      </c>
      <c r="I71" s="2"/>
      <c r="J71" s="6">
        <f t="shared" si="13"/>
        <v>1.5082700732788851E-3</v>
      </c>
      <c r="K71" s="2"/>
      <c r="L71" s="2">
        <f t="shared" si="14"/>
        <v>0</v>
      </c>
      <c r="M71" s="2"/>
      <c r="N71" s="6">
        <f t="shared" si="15"/>
        <v>0</v>
      </c>
      <c r="O71" s="14"/>
      <c r="P71" s="2">
        <f>SUM(OSRRefP22_3x_0)</f>
        <v>2243.52</v>
      </c>
      <c r="Q71" s="2"/>
      <c r="R71" s="6">
        <f t="shared" si="16"/>
        <v>1.7340864475391972E-3</v>
      </c>
      <c r="S71" s="2"/>
      <c r="T71" s="2">
        <f>SUM(OSRRefT22_3x_0)</f>
        <v>2243.52</v>
      </c>
      <c r="U71" s="2"/>
      <c r="V71" s="6">
        <f t="shared" si="17"/>
        <v>1.4106008332624947E-3</v>
      </c>
      <c r="W71" s="2"/>
      <c r="X71" s="2">
        <f t="shared" si="18"/>
        <v>0</v>
      </c>
      <c r="Y71" s="2"/>
      <c r="Z71" s="6">
        <f t="shared" si="19"/>
        <v>0</v>
      </c>
    </row>
    <row r="72" spans="1:26" s="69" customFormat="1" ht="15" hidden="1" customHeight="1" outlineLevel="2" x14ac:dyDescent="0.3">
      <c r="A72" s="26"/>
      <c r="B72" s="12" t="str">
        <f>CONCATENATE("          ","6322"," - ","EQUIPMENT DEPRECIATION EXPENSE")</f>
        <v xml:space="preserve">          6322 - EQUIPMENT DEPRECIATION EXPENSE</v>
      </c>
      <c r="C72" s="12"/>
      <c r="D72" s="8">
        <v>280.44</v>
      </c>
      <c r="E72" s="3"/>
      <c r="F72" s="7">
        <f t="shared" si="12"/>
        <v>1.6366574860009584E-3</v>
      </c>
      <c r="G72" s="3"/>
      <c r="H72" s="8">
        <v>280.44</v>
      </c>
      <c r="I72" s="3"/>
      <c r="J72" s="7">
        <f t="shared" si="13"/>
        <v>1.5082700732788851E-3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>
        <v>2243.52</v>
      </c>
      <c r="Q72" s="3"/>
      <c r="R72" s="7">
        <f t="shared" si="16"/>
        <v>1.7340864475391972E-3</v>
      </c>
      <c r="S72" s="3"/>
      <c r="T72" s="8">
        <v>2243.52</v>
      </c>
      <c r="U72" s="3"/>
      <c r="V72" s="7">
        <f t="shared" si="17"/>
        <v>1.4106008332624947E-3</v>
      </c>
      <c r="W72" s="3"/>
      <c r="X72" s="8">
        <f t="shared" si="18"/>
        <v>0</v>
      </c>
      <c r="Y72" s="3"/>
      <c r="Z72" s="7">
        <f t="shared" si="19"/>
        <v>0</v>
      </c>
    </row>
    <row r="73" spans="1:26" s="68" customFormat="1" ht="15" customHeight="1" outlineLevel="1" collapsed="1" x14ac:dyDescent="0.3">
      <c r="A73" s="25"/>
      <c r="B73" s="14" t="str">
        <f>CONCATENATE("     ","Discounts and Markdowns                           ")</f>
        <v xml:space="preserve">     Discounts and Markdowns                           </v>
      </c>
      <c r="C73" s="14"/>
      <c r="D73" s="2">
        <f>SUM(OSRRefD22_4x_0)</f>
        <v>0</v>
      </c>
      <c r="E73" s="2"/>
      <c r="F73" s="6">
        <f t="shared" si="12"/>
        <v>0</v>
      </c>
      <c r="G73" s="2"/>
      <c r="H73" s="2">
        <f>SUM(OSRRefH22_4x_0)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SUM(OSRRefP22_4x_0)</f>
        <v>0</v>
      </c>
      <c r="Q73" s="2"/>
      <c r="R73" s="6">
        <f t="shared" si="16"/>
        <v>0</v>
      </c>
      <c r="S73" s="2"/>
      <c r="T73" s="2">
        <f>SUM(OSRRefT22_4x_0)</f>
        <v>0</v>
      </c>
      <c r="U73" s="2"/>
      <c r="V73" s="6">
        <f t="shared" si="17"/>
        <v>0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","6382"," - ","DISCOUNTS/MARK DOWNS")</f>
        <v xml:space="preserve">          6382 - DISCOUNTS/MARK DOWNS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","Freight out/Postage                               ")</f>
        <v xml:space="preserve">     Freight out/Postage                               </v>
      </c>
      <c r="C75" s="14"/>
      <c r="D75" s="2">
        <f>SUM(OSRRefD22_5x_0)</f>
        <v>0</v>
      </c>
      <c r="E75" s="2"/>
      <c r="F75" s="6">
        <f t="shared" si="12"/>
        <v>0</v>
      </c>
      <c r="G75" s="2"/>
      <c r="H75" s="2">
        <f>SUM(OSRRefH22_5x_0)</f>
        <v>88.22</v>
      </c>
      <c r="I75" s="2"/>
      <c r="J75" s="6">
        <f t="shared" si="13"/>
        <v>4.7446721532114975E-4</v>
      </c>
      <c r="K75" s="2"/>
      <c r="L75" s="2">
        <f t="shared" si="14"/>
        <v>-88.22</v>
      </c>
      <c r="M75" s="2"/>
      <c r="N75" s="6">
        <f t="shared" si="15"/>
        <v>-1</v>
      </c>
      <c r="O75" s="14"/>
      <c r="P75" s="2">
        <f>SUM(OSRRefP22_5x_0)</f>
        <v>122.13</v>
      </c>
      <c r="Q75" s="2"/>
      <c r="R75" s="6">
        <f t="shared" si="16"/>
        <v>9.4398078839485341E-5</v>
      </c>
      <c r="S75" s="2"/>
      <c r="T75" s="2">
        <f>SUM(OSRRefT22_5x_0)</f>
        <v>1082.33</v>
      </c>
      <c r="U75" s="2"/>
      <c r="V75" s="6">
        <f t="shared" si="17"/>
        <v>6.8050902147740865E-4</v>
      </c>
      <c r="W75" s="2"/>
      <c r="X75" s="2">
        <f t="shared" si="18"/>
        <v>-960.19999999999993</v>
      </c>
      <c r="Y75" s="2"/>
      <c r="Z75" s="6">
        <f t="shared" si="19"/>
        <v>-0.88716010828490388</v>
      </c>
    </row>
    <row r="76" spans="1:26" s="69" customFormat="1" ht="15" hidden="1" customHeight="1" outlineLevel="2" x14ac:dyDescent="0.3">
      <c r="A76" s="26"/>
      <c r="B76" s="12" t="str">
        <f>CONCATENATE("          ","6305"," - ","FREIGHT OUT")</f>
        <v xml:space="preserve">          6305 - FREIGHT OUT</v>
      </c>
      <c r="C76" s="12"/>
      <c r="D76" s="8"/>
      <c r="E76" s="3"/>
      <c r="F76" s="7">
        <f t="shared" si="12"/>
        <v>0</v>
      </c>
      <c r="G76" s="3"/>
      <c r="H76" s="8">
        <v>88.22</v>
      </c>
      <c r="I76" s="3"/>
      <c r="J76" s="7">
        <f t="shared" si="13"/>
        <v>4.7446721532114975E-4</v>
      </c>
      <c r="K76" s="3"/>
      <c r="L76" s="8">
        <f t="shared" si="14"/>
        <v>-88.22</v>
      </c>
      <c r="M76" s="3"/>
      <c r="N76" s="7">
        <f t="shared" si="15"/>
        <v>-1</v>
      </c>
      <c r="O76" s="12"/>
      <c r="P76" s="8">
        <v>122.13</v>
      </c>
      <c r="Q76" s="3"/>
      <c r="R76" s="7">
        <f t="shared" si="16"/>
        <v>9.4398078839485341E-5</v>
      </c>
      <c r="S76" s="3"/>
      <c r="T76" s="8">
        <v>1069.73</v>
      </c>
      <c r="U76" s="3"/>
      <c r="V76" s="7">
        <f t="shared" si="17"/>
        <v>6.725868409311656E-4</v>
      </c>
      <c r="W76" s="3"/>
      <c r="X76" s="8">
        <f t="shared" si="18"/>
        <v>-947.6</v>
      </c>
      <c r="Y76" s="3"/>
      <c r="Z76" s="7">
        <f t="shared" si="19"/>
        <v>-0.88583100408514304</v>
      </c>
    </row>
    <row r="77" spans="1:26" s="69" customFormat="1" ht="15" hidden="1" customHeight="1" outlineLevel="2" x14ac:dyDescent="0.3">
      <c r="A77" s="26"/>
      <c r="B77" s="12" t="str">
        <f>CONCATENATE("          ","6307"," - ","POSTAGE")</f>
        <v xml:space="preserve">          6307 - POSTAGE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12.6</v>
      </c>
      <c r="U77" s="3"/>
      <c r="V77" s="7">
        <f t="shared" si="17"/>
        <v>7.9221805462431506E-6</v>
      </c>
      <c r="W77" s="3"/>
      <c r="X77" s="8">
        <f t="shared" si="18"/>
        <v>-12.6</v>
      </c>
      <c r="Y77" s="3"/>
      <c r="Z77" s="7">
        <f t="shared" si="19"/>
        <v>-1</v>
      </c>
    </row>
    <row r="78" spans="1:26" s="68" customFormat="1" ht="15" customHeight="1" outlineLevel="1" collapsed="1" x14ac:dyDescent="0.3">
      <c r="A78" s="25"/>
      <c r="B78" s="14" t="str">
        <f>CONCATENATE("     ","General                                           ")</f>
        <v xml:space="preserve">     General                                           </v>
      </c>
      <c r="C78" s="14"/>
      <c r="D78" s="2">
        <f>SUM(OSRRefD22_6x_0)</f>
        <v>0</v>
      </c>
      <c r="E78" s="2"/>
      <c r="F78" s="6">
        <f t="shared" si="12"/>
        <v>0</v>
      </c>
      <c r="G78" s="2"/>
      <c r="H78" s="2">
        <f>SUM(OSRRefH22_6x_0)</f>
        <v>0</v>
      </c>
      <c r="I78" s="2"/>
      <c r="J78" s="6">
        <f t="shared" si="13"/>
        <v>0</v>
      </c>
      <c r="K78" s="2"/>
      <c r="L78" s="2">
        <f t="shared" si="14"/>
        <v>0</v>
      </c>
      <c r="M78" s="2"/>
      <c r="N78" s="6">
        <f t="shared" si="15"/>
        <v>0</v>
      </c>
      <c r="O78" s="14"/>
      <c r="P78" s="2">
        <f>SUM(OSRRefP22_6x_0)</f>
        <v>0</v>
      </c>
      <c r="Q78" s="2"/>
      <c r="R78" s="6">
        <f t="shared" si="16"/>
        <v>0</v>
      </c>
      <c r="S78" s="2"/>
      <c r="T78" s="2">
        <f>SUM(OSRRefT22_6x_0)</f>
        <v>-30.15</v>
      </c>
      <c r="U78" s="2"/>
      <c r="V78" s="6">
        <f t="shared" si="17"/>
        <v>-1.8956646307081827E-5</v>
      </c>
      <c r="W78" s="2"/>
      <c r="X78" s="2">
        <f t="shared" si="18"/>
        <v>30.15</v>
      </c>
      <c r="Y78" s="2"/>
      <c r="Z78" s="6">
        <f t="shared" si="19"/>
        <v>-1</v>
      </c>
    </row>
    <row r="79" spans="1:26" s="69" customFormat="1" ht="15" hidden="1" customHeight="1" outlineLevel="2" x14ac:dyDescent="0.3">
      <c r="A79" s="26"/>
      <c r="B79" s="12" t="str">
        <f>CONCATENATE("          ","6279"," - ","GENERAL EXPENSE")</f>
        <v xml:space="preserve">          6279 - GENERAL EXPENSE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-30.15</v>
      </c>
      <c r="U79" s="3"/>
      <c r="V79" s="7">
        <f t="shared" si="17"/>
        <v>-1.8956646307081827E-5</v>
      </c>
      <c r="W79" s="3"/>
      <c r="X79" s="8">
        <f t="shared" si="18"/>
        <v>30.15</v>
      </c>
      <c r="Y79" s="3"/>
      <c r="Z79" s="7">
        <f t="shared" si="19"/>
        <v>-1</v>
      </c>
    </row>
    <row r="80" spans="1:26" s="68" customFormat="1" ht="15" customHeight="1" outlineLevel="1" collapsed="1" x14ac:dyDescent="0.3">
      <c r="A80" s="25"/>
      <c r="B80" s="14" t="str">
        <f>CONCATENATE("     ","Inventory Adjustment                              ")</f>
        <v xml:space="preserve">     Inventory Adjustment                              </v>
      </c>
      <c r="C80" s="14"/>
      <c r="D80" s="2">
        <f>SUM(OSRRefD22_7x_0)</f>
        <v>590</v>
      </c>
      <c r="E80" s="2"/>
      <c r="F80" s="6">
        <f t="shared" si="12"/>
        <v>3.4432602936120575E-3</v>
      </c>
      <c r="G80" s="2"/>
      <c r="H80" s="2">
        <f>SUM(OSRRefH22_7x_0)</f>
        <v>1250</v>
      </c>
      <c r="I80" s="2"/>
      <c r="J80" s="6">
        <f t="shared" si="13"/>
        <v>6.7227841663051145E-3</v>
      </c>
      <c r="K80" s="2"/>
      <c r="L80" s="2">
        <f t="shared" si="14"/>
        <v>-660</v>
      </c>
      <c r="M80" s="2"/>
      <c r="N80" s="6">
        <f t="shared" si="15"/>
        <v>-0.52800000000000002</v>
      </c>
      <c r="O80" s="14"/>
      <c r="P80" s="2">
        <f>SUM(OSRRefP22_7x_0)</f>
        <v>7200</v>
      </c>
      <c r="Q80" s="2"/>
      <c r="R80" s="6">
        <f t="shared" si="16"/>
        <v>5.5651041320256651E-3</v>
      </c>
      <c r="S80" s="2"/>
      <c r="T80" s="2">
        <f>SUM(OSRRefT22_7x_0)</f>
        <v>10000</v>
      </c>
      <c r="U80" s="2"/>
      <c r="V80" s="6">
        <f t="shared" si="17"/>
        <v>6.2874448779707548E-3</v>
      </c>
      <c r="W80" s="2"/>
      <c r="X80" s="2">
        <f t="shared" si="18"/>
        <v>-2800</v>
      </c>
      <c r="Y80" s="2"/>
      <c r="Z80" s="6">
        <f t="shared" si="19"/>
        <v>-0.28000000000000003</v>
      </c>
    </row>
    <row r="81" spans="1:26" s="69" customFormat="1" ht="15" hidden="1" customHeight="1" outlineLevel="2" x14ac:dyDescent="0.3">
      <c r="A81" s="26"/>
      <c r="B81" s="12" t="str">
        <f>CONCATENATE("          ","6408"," - ","INVENTORY ADJUSTMENT")</f>
        <v xml:space="preserve">          6408 - INVENTORY ADJUSTMENT</v>
      </c>
      <c r="C81" s="12"/>
      <c r="D81" s="8">
        <v>590</v>
      </c>
      <c r="E81" s="3"/>
      <c r="F81" s="7">
        <f t="shared" si="12"/>
        <v>3.4432602936120575E-3</v>
      </c>
      <c r="G81" s="3"/>
      <c r="H81" s="8">
        <v>1250</v>
      </c>
      <c r="I81" s="3"/>
      <c r="J81" s="7">
        <f t="shared" si="13"/>
        <v>6.7227841663051145E-3</v>
      </c>
      <c r="K81" s="3"/>
      <c r="L81" s="8">
        <f t="shared" si="14"/>
        <v>-660</v>
      </c>
      <c r="M81" s="3"/>
      <c r="N81" s="7">
        <f t="shared" si="15"/>
        <v>-0.52800000000000002</v>
      </c>
      <c r="O81" s="12"/>
      <c r="P81" s="8">
        <v>7200</v>
      </c>
      <c r="Q81" s="3"/>
      <c r="R81" s="7">
        <f t="shared" si="16"/>
        <v>5.5651041320256651E-3</v>
      </c>
      <c r="S81" s="3"/>
      <c r="T81" s="8">
        <v>10000</v>
      </c>
      <c r="U81" s="3"/>
      <c r="V81" s="7">
        <f t="shared" si="17"/>
        <v>6.2874448779707548E-3</v>
      </c>
      <c r="W81" s="3"/>
      <c r="X81" s="8">
        <f t="shared" si="18"/>
        <v>-2800</v>
      </c>
      <c r="Y81" s="3"/>
      <c r="Z81" s="7">
        <f t="shared" si="19"/>
        <v>-0.28000000000000003</v>
      </c>
    </row>
    <row r="82" spans="1:26" s="68" customFormat="1" ht="15" customHeight="1" outlineLevel="1" collapsed="1" x14ac:dyDescent="0.3">
      <c r="A82" s="25"/>
      <c r="B82" s="14" t="str">
        <f>CONCATENATE("     ","Supplies                                          ")</f>
        <v xml:space="preserve">     Supplies                                          </v>
      </c>
      <c r="C82" s="14"/>
      <c r="D82" s="2">
        <f>SUM(OSRRefD22_8x_0)</f>
        <v>63.25</v>
      </c>
      <c r="E82" s="2"/>
      <c r="F82" s="6">
        <f t="shared" si="12"/>
        <v>3.6912917554400446E-4</v>
      </c>
      <c r="G82" s="2"/>
      <c r="H82" s="2">
        <f>SUM(OSRRefH22_8x_0)</f>
        <v>8.74</v>
      </c>
      <c r="I82" s="2"/>
      <c r="J82" s="6">
        <f t="shared" si="13"/>
        <v>4.700570689080536E-5</v>
      </c>
      <c r="K82" s="2"/>
      <c r="L82" s="2">
        <f t="shared" si="14"/>
        <v>54.51</v>
      </c>
      <c r="M82" s="2"/>
      <c r="N82" s="6">
        <f t="shared" si="15"/>
        <v>6.2368421052631575</v>
      </c>
      <c r="O82" s="14"/>
      <c r="P82" s="2">
        <f>SUM(OSRRefP22_8x_0)</f>
        <v>3381.75</v>
      </c>
      <c r="Q82" s="2"/>
      <c r="R82" s="6">
        <f t="shared" si="16"/>
        <v>2.6138598470108049E-3</v>
      </c>
      <c r="S82" s="2"/>
      <c r="T82" s="2">
        <f>SUM(OSRRefT22_8x_0)</f>
        <v>2078.6</v>
      </c>
      <c r="U82" s="2"/>
      <c r="V82" s="6">
        <f t="shared" si="17"/>
        <v>1.3069082923350011E-3</v>
      </c>
      <c r="W82" s="2"/>
      <c r="X82" s="2">
        <f t="shared" si="18"/>
        <v>1303.1500000000001</v>
      </c>
      <c r="Y82" s="2"/>
      <c r="Z82" s="6">
        <f t="shared" si="19"/>
        <v>0.62693639949966329</v>
      </c>
    </row>
    <row r="83" spans="1:26" s="69" customFormat="1" ht="15" hidden="1" customHeight="1" outlineLevel="2" x14ac:dyDescent="0.3">
      <c r="A83" s="26"/>
      <c r="B83" s="12" t="str">
        <f>CONCATENATE("          ","6235"," - ","COVID-19 EXPENSES")</f>
        <v xml:space="preserve">          6235 - COVID-19 EXPENSES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/>
      <c r="Q83" s="3"/>
      <c r="R83" s="7">
        <f t="shared" si="16"/>
        <v>0</v>
      </c>
      <c r="S83" s="3"/>
      <c r="T83" s="8">
        <v>668.12</v>
      </c>
      <c r="U83" s="3"/>
      <c r="V83" s="7">
        <f t="shared" si="17"/>
        <v>4.200767671869821E-4</v>
      </c>
      <c r="W83" s="3"/>
      <c r="X83" s="8">
        <f t="shared" si="18"/>
        <v>-668.12</v>
      </c>
      <c r="Y83" s="3"/>
      <c r="Z83" s="7">
        <f t="shared" si="19"/>
        <v>-1</v>
      </c>
    </row>
    <row r="84" spans="1:26" s="69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8">
        <v>63.25</v>
      </c>
      <c r="E84" s="3"/>
      <c r="F84" s="7">
        <f t="shared" si="12"/>
        <v>3.6912917554400446E-4</v>
      </c>
      <c r="G84" s="3"/>
      <c r="H84" s="8">
        <v>8.74</v>
      </c>
      <c r="I84" s="3"/>
      <c r="J84" s="7">
        <f t="shared" si="13"/>
        <v>4.700570689080536E-5</v>
      </c>
      <c r="K84" s="3"/>
      <c r="L84" s="8">
        <f t="shared" si="14"/>
        <v>54.51</v>
      </c>
      <c r="M84" s="3"/>
      <c r="N84" s="7">
        <f t="shared" si="15"/>
        <v>6.2368421052631575</v>
      </c>
      <c r="O84" s="12"/>
      <c r="P84" s="8">
        <v>469.75</v>
      </c>
      <c r="Q84" s="3"/>
      <c r="R84" s="7">
        <f t="shared" si="16"/>
        <v>3.6308439805820229E-4</v>
      </c>
      <c r="S84" s="3"/>
      <c r="T84" s="8">
        <v>1410.48</v>
      </c>
      <c r="U84" s="3"/>
      <c r="V84" s="7">
        <f t="shared" si="17"/>
        <v>8.8683152514801907E-4</v>
      </c>
      <c r="W84" s="3"/>
      <c r="X84" s="8">
        <f t="shared" si="18"/>
        <v>-940.73</v>
      </c>
      <c r="Y84" s="3"/>
      <c r="Z84" s="7">
        <f t="shared" si="19"/>
        <v>-0.66695734785321314</v>
      </c>
    </row>
    <row r="85" spans="1:26" s="69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8"/>
      <c r="E85" s="3"/>
      <c r="F85" s="7">
        <f t="shared" si="12"/>
        <v>0</v>
      </c>
      <c r="G85" s="3"/>
      <c r="H85" s="8"/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>
        <v>2912</v>
      </c>
      <c r="Q85" s="3"/>
      <c r="R85" s="7">
        <f t="shared" si="16"/>
        <v>2.2507754489526025E-3</v>
      </c>
      <c r="S85" s="3"/>
      <c r="T85" s="8"/>
      <c r="U85" s="3"/>
      <c r="V85" s="7">
        <f t="shared" si="17"/>
        <v>0</v>
      </c>
      <c r="W85" s="3"/>
      <c r="X85" s="8">
        <f t="shared" si="18"/>
        <v>2912</v>
      </c>
      <c r="Y85" s="3"/>
      <c r="Z85" s="7">
        <f t="shared" si="19"/>
        <v>0</v>
      </c>
    </row>
    <row r="86" spans="1:26" s="68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SUM(OSRRefD22_9x_0)</f>
        <v>179.73</v>
      </c>
      <c r="E86" s="2"/>
      <c r="F86" s="6">
        <f t="shared" si="12"/>
        <v>1.0489104619845679E-3</v>
      </c>
      <c r="G86" s="2"/>
      <c r="H86" s="2">
        <f>SUM(OSRRefH22_9x_0)</f>
        <v>250.65</v>
      </c>
      <c r="I86" s="2"/>
      <c r="J86" s="6">
        <f t="shared" si="13"/>
        <v>1.3480526810275015E-3</v>
      </c>
      <c r="K86" s="2"/>
      <c r="L86" s="2">
        <f t="shared" si="14"/>
        <v>-70.920000000000016</v>
      </c>
      <c r="M86" s="2"/>
      <c r="N86" s="6">
        <f t="shared" si="15"/>
        <v>-0.28294434470377028</v>
      </c>
      <c r="O86" s="14"/>
      <c r="P86" s="2">
        <f>SUM(OSRRefP22_9x_0)</f>
        <v>1645.33</v>
      </c>
      <c r="Q86" s="2"/>
      <c r="R86" s="6">
        <f t="shared" si="16"/>
        <v>1.2717267752146927E-3</v>
      </c>
      <c r="S86" s="2"/>
      <c r="T86" s="2">
        <f>SUM(OSRRefT22_9x_0)</f>
        <v>2331.4</v>
      </c>
      <c r="U86" s="2"/>
      <c r="V86" s="6">
        <f t="shared" si="17"/>
        <v>1.4658548988501019E-3</v>
      </c>
      <c r="W86" s="2"/>
      <c r="X86" s="2">
        <f t="shared" si="18"/>
        <v>-686.07000000000016</v>
      </c>
      <c r="Y86" s="2"/>
      <c r="Z86" s="6">
        <f t="shared" si="19"/>
        <v>-0.29427382688513348</v>
      </c>
    </row>
    <row r="87" spans="1:26" s="69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179.73</v>
      </c>
      <c r="E87" s="3"/>
      <c r="F87" s="7">
        <f t="shared" si="12"/>
        <v>1.0489104619845679E-3</v>
      </c>
      <c r="G87" s="3"/>
      <c r="H87" s="8">
        <v>250.65</v>
      </c>
      <c r="I87" s="3"/>
      <c r="J87" s="7">
        <f t="shared" si="13"/>
        <v>1.3480526810275015E-3</v>
      </c>
      <c r="K87" s="3"/>
      <c r="L87" s="8">
        <f t="shared" si="14"/>
        <v>-70.920000000000016</v>
      </c>
      <c r="M87" s="3"/>
      <c r="N87" s="7">
        <f t="shared" si="15"/>
        <v>-0.28294434470377028</v>
      </c>
      <c r="O87" s="12"/>
      <c r="P87" s="8">
        <v>1645.33</v>
      </c>
      <c r="Q87" s="3"/>
      <c r="R87" s="7">
        <f t="shared" si="16"/>
        <v>1.2717267752146927E-3</v>
      </c>
      <c r="S87" s="3"/>
      <c r="T87" s="8">
        <v>2331.4</v>
      </c>
      <c r="U87" s="3"/>
      <c r="V87" s="7">
        <f t="shared" si="17"/>
        <v>1.4658548988501019E-3</v>
      </c>
      <c r="W87" s="3"/>
      <c r="X87" s="8">
        <f t="shared" si="18"/>
        <v>-686.07000000000016</v>
      </c>
      <c r="Y87" s="3"/>
      <c r="Z87" s="7">
        <f t="shared" si="19"/>
        <v>-0.29427382688513348</v>
      </c>
    </row>
    <row r="88" spans="1:26" s="68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SUM(OSRRefD22_10x_0)</f>
        <v>0</v>
      </c>
      <c r="E88" s="2"/>
      <c r="F88" s="6">
        <f t="shared" si="12"/>
        <v>0</v>
      </c>
      <c r="G88" s="2"/>
      <c r="H88" s="2">
        <f>SUM(OSRRefH22_10x_0)</f>
        <v>0</v>
      </c>
      <c r="I88" s="2"/>
      <c r="J88" s="6">
        <f t="shared" si="13"/>
        <v>0</v>
      </c>
      <c r="K88" s="2"/>
      <c r="L88" s="2">
        <f t="shared" si="14"/>
        <v>0</v>
      </c>
      <c r="M88" s="2"/>
      <c r="N88" s="6">
        <f t="shared" si="15"/>
        <v>0</v>
      </c>
      <c r="O88" s="14"/>
      <c r="P88" s="2">
        <f>SUM(OSRRefP22_10x_0)</f>
        <v>0</v>
      </c>
      <c r="Q88" s="2"/>
      <c r="R88" s="6">
        <f t="shared" si="16"/>
        <v>0</v>
      </c>
      <c r="S88" s="2"/>
      <c r="T88" s="2">
        <f>SUM(OSRRefT22_10x_0)</f>
        <v>100</v>
      </c>
      <c r="U88" s="2"/>
      <c r="V88" s="6">
        <f t="shared" si="17"/>
        <v>6.287444877970755E-5</v>
      </c>
      <c r="W88" s="2"/>
      <c r="X88" s="2">
        <f t="shared" si="18"/>
        <v>-100</v>
      </c>
      <c r="Y88" s="2"/>
      <c r="Z88" s="6">
        <f t="shared" si="19"/>
        <v>-1</v>
      </c>
    </row>
    <row r="89" spans="1:26" s="69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/>
      <c r="Q89" s="3"/>
      <c r="R89" s="7">
        <f t="shared" si="16"/>
        <v>0</v>
      </c>
      <c r="S89" s="3"/>
      <c r="T89" s="8">
        <v>100</v>
      </c>
      <c r="U89" s="3"/>
      <c r="V89" s="7">
        <f t="shared" si="17"/>
        <v>6.287444877970755E-5</v>
      </c>
      <c r="W89" s="3"/>
      <c r="X89" s="8">
        <f t="shared" si="18"/>
        <v>-100</v>
      </c>
      <c r="Y89" s="3"/>
      <c r="Z89" s="7">
        <f t="shared" si="19"/>
        <v>-1</v>
      </c>
    </row>
    <row r="90" spans="1:26" s="64" customFormat="1" ht="15" customHeight="1" x14ac:dyDescent="0.3">
      <c r="A90" s="36"/>
      <c r="B90" s="36"/>
      <c r="C90" s="36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2" customFormat="1" ht="15" customHeight="1" collapsed="1" x14ac:dyDescent="0.3">
      <c r="A91" s="11"/>
      <c r="B91" s="27" t="s">
        <v>290</v>
      </c>
      <c r="C91" s="11"/>
      <c r="D91" s="5">
        <f>SUM(OSRRefD25x_0)</f>
        <v>613.26</v>
      </c>
      <c r="E91" s="5"/>
      <c r="F91" s="13">
        <f>IF(D$12=0,0,D91/D$12)</f>
        <v>3.5790064536619158E-3</v>
      </c>
      <c r="G91" s="5"/>
      <c r="H91" s="5">
        <f>SUM(OSRRefH25x_0)</f>
        <v>649.6</v>
      </c>
      <c r="I91" s="5"/>
      <c r="J91" s="13">
        <f>IF(H$12=0,0,H91/H$12)</f>
        <v>3.4936964755454421E-3</v>
      </c>
      <c r="K91" s="5"/>
      <c r="L91" s="5">
        <f>+D91-H91</f>
        <v>-36.340000000000032</v>
      </c>
      <c r="M91" s="5"/>
      <c r="N91" s="13">
        <f>IF(H91=0,0,L91/H91)</f>
        <v>-5.5942118226601036E-2</v>
      </c>
      <c r="O91" s="11"/>
      <c r="P91" s="5">
        <f>SUM(OSRRefP25x_0)</f>
        <v>4454.01</v>
      </c>
      <c r="Q91" s="5"/>
      <c r="R91" s="13">
        <f>IF(P$12=0,0,P91/P$12)</f>
        <v>3.4426429798727273E-3</v>
      </c>
      <c r="S91" s="5"/>
      <c r="T91" s="5">
        <f>SUM(OSRRefT25x_0)</f>
        <v>1278.6399999999999</v>
      </c>
      <c r="U91" s="5"/>
      <c r="V91" s="13">
        <f>IF(T$12=0,0,T91/T$12)</f>
        <v>8.0393785187685249E-4</v>
      </c>
      <c r="W91" s="5"/>
      <c r="X91" s="5">
        <f>+P91-T91</f>
        <v>3175.3700000000003</v>
      </c>
      <c r="Y91" s="5"/>
      <c r="Z91" s="13">
        <f>IF(T91=0,0,X91/T91)</f>
        <v>2.483396421197523</v>
      </c>
    </row>
    <row r="92" spans="1:26" s="69" customFormat="1" ht="15" hidden="1" customHeight="1" outlineLevel="1" x14ac:dyDescent="0.3">
      <c r="A92" s="42"/>
      <c r="B92" s="12" t="str">
        <f>CONCATENATE("          ","4187"," - ","NON-TAXABLE SALES-COMPUTER REP")</f>
        <v xml:space="preserve">          4187 - NON-TAXABLE SALES-COMPUTER REP</v>
      </c>
      <c r="C92" s="12"/>
      <c r="D92" s="3">
        <f>0</f>
        <v>0</v>
      </c>
      <c r="E92" s="3"/>
      <c r="F92" s="20">
        <f>IF(D$12=0,0,D92/D$12)</f>
        <v>0</v>
      </c>
      <c r="G92" s="3"/>
      <c r="H92" s="3">
        <f>-231.36</f>
        <v>-231.36</v>
      </c>
      <c r="I92" s="3"/>
      <c r="J92" s="20">
        <f>IF(H$12=0,0,H92/H$12)</f>
        <v>-1.2443066757730811E-3</v>
      </c>
      <c r="K92" s="3"/>
      <c r="L92" s="3">
        <f>+D92-H92</f>
        <v>231.36</v>
      </c>
      <c r="M92" s="3"/>
      <c r="N92" s="20">
        <f>IF(H92=0,0,L92/H92)</f>
        <v>-1</v>
      </c>
      <c r="O92" s="12"/>
      <c r="P92" s="3">
        <f>0</f>
        <v>0</v>
      </c>
      <c r="Q92" s="3"/>
      <c r="R92" s="20">
        <f>IF(P$12=0,0,P92/P$12)</f>
        <v>0</v>
      </c>
      <c r="S92" s="3"/>
      <c r="T92" s="3">
        <f>--1454.51</f>
        <v>1454.51</v>
      </c>
      <c r="U92" s="3"/>
      <c r="V92" s="20">
        <f>IF(T$12=0,0,T92/T$12)</f>
        <v>9.1451514494572434E-4</v>
      </c>
      <c r="W92" s="3"/>
      <c r="X92" s="3">
        <f>+P92-T92</f>
        <v>-1454.51</v>
      </c>
      <c r="Y92" s="3"/>
      <c r="Z92" s="20">
        <f>IF(T92=0,0,X92/T92)</f>
        <v>-1</v>
      </c>
    </row>
    <row r="93" spans="1:26" s="69" customFormat="1" ht="15" hidden="1" customHeight="1" outlineLevel="1" x14ac:dyDescent="0.3">
      <c r="A93" s="42"/>
      <c r="B93" s="12" t="str">
        <f>CONCATENATE("          ","9087"," - ","")</f>
        <v xml:space="preserve">          9087 - </v>
      </c>
      <c r="C93" s="12"/>
      <c r="D93" s="3">
        <f>--576.08</f>
        <v>576.08000000000004</v>
      </c>
      <c r="E93" s="3"/>
      <c r="F93" s="20">
        <f>IF(D$12=0,0,D93/D$12)</f>
        <v>3.3620226948203971E-3</v>
      </c>
      <c r="G93" s="3"/>
      <c r="H93" s="3">
        <f>0</f>
        <v>0</v>
      </c>
      <c r="I93" s="3"/>
      <c r="J93" s="20">
        <f>IF(H$12=0,0,H93/H$12)</f>
        <v>0</v>
      </c>
      <c r="K93" s="3"/>
      <c r="L93" s="3">
        <f>+D93-H93</f>
        <v>576.08000000000004</v>
      </c>
      <c r="M93" s="3"/>
      <c r="N93" s="20">
        <f>IF(H93=0,0,L93/H93)</f>
        <v>0</v>
      </c>
      <c r="O93" s="12"/>
      <c r="P93" s="3">
        <f>--2207.09</f>
        <v>2207.09</v>
      </c>
      <c r="Q93" s="3"/>
      <c r="R93" s="20">
        <f>IF(P$12=0,0,P93/P$12)</f>
        <v>1.7059285664934064E-3</v>
      </c>
      <c r="S93" s="3"/>
      <c r="T93" s="3">
        <f>0</f>
        <v>0</v>
      </c>
      <c r="U93" s="3"/>
      <c r="V93" s="20">
        <f>IF(T$12=0,0,T93/T$12)</f>
        <v>0</v>
      </c>
      <c r="W93" s="3"/>
      <c r="X93" s="3">
        <f>+P93-T93</f>
        <v>2207.09</v>
      </c>
      <c r="Y93" s="3"/>
      <c r="Z93" s="20">
        <f>IF(T93=0,0,X93/T93)</f>
        <v>0</v>
      </c>
    </row>
    <row r="94" spans="1:26" s="69" customFormat="1" ht="15" hidden="1" customHeight="1" outlineLevel="1" x14ac:dyDescent="0.3">
      <c r="A94" s="42"/>
      <c r="B94" s="12" t="str">
        <f>CONCATENATE("          ","9150"," - ","MISC. INCOME")</f>
        <v xml:space="preserve">          9150 - MISC. INCOME</v>
      </c>
      <c r="C94" s="12"/>
      <c r="D94" s="3">
        <f>--37.18</f>
        <v>37.18</v>
      </c>
      <c r="E94" s="3"/>
      <c r="F94" s="20">
        <f>IF(D$12=0,0,D94/D$12)</f>
        <v>2.1698375884151916E-4</v>
      </c>
      <c r="G94" s="3"/>
      <c r="H94" s="3">
        <f>--880.96</f>
        <v>880.96</v>
      </c>
      <c r="I94" s="3"/>
      <c r="J94" s="20">
        <f>IF(H$12=0,0,H94/H$12)</f>
        <v>4.738003151318523E-3</v>
      </c>
      <c r="K94" s="3"/>
      <c r="L94" s="3">
        <f>+D94-H94</f>
        <v>-843.78000000000009</v>
      </c>
      <c r="M94" s="3"/>
      <c r="N94" s="20">
        <f>IF(H94=0,0,L94/H94)</f>
        <v>-0.95779604068289148</v>
      </c>
      <c r="O94" s="12"/>
      <c r="P94" s="3">
        <f>--2246.92</f>
        <v>2246.92</v>
      </c>
      <c r="Q94" s="3"/>
      <c r="R94" s="20">
        <f>IF(P$12=0,0,P94/P$12)</f>
        <v>1.7367144133793207E-3</v>
      </c>
      <c r="S94" s="3"/>
      <c r="T94" s="3">
        <f>-175.87</f>
        <v>-175.87</v>
      </c>
      <c r="U94" s="3"/>
      <c r="V94" s="20">
        <f>IF(T$12=0,0,T94/T$12)</f>
        <v>-1.1057729306887167E-4</v>
      </c>
      <c r="W94" s="3"/>
      <c r="X94" s="3">
        <f>+P94-T94</f>
        <v>2422.79</v>
      </c>
      <c r="Y94" s="3"/>
      <c r="Z94" s="20">
        <f>IF(T94=0,0,X94/T94)</f>
        <v>-13.776027747768238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2" customFormat="1" ht="15" customHeight="1" x14ac:dyDescent="0.3">
      <c r="A96" s="11"/>
      <c r="B96" s="28" t="s">
        <v>291</v>
      </c>
      <c r="C96" s="28"/>
      <c r="D96" s="23">
        <f>+D50-D52+D91</f>
        <v>4313.6800000000148</v>
      </c>
      <c r="E96" s="15"/>
      <c r="F96" s="22">
        <f>IF(D$12=0,0,D96/D$12)</f>
        <v>2.517478485313307E-2</v>
      </c>
      <c r="G96" s="15"/>
      <c r="H96" s="23">
        <f>+H50-H52+H91</f>
        <v>-7998.8599999999751</v>
      </c>
      <c r="I96" s="15"/>
      <c r="J96" s="22">
        <f>IF(H$12=0,0,H96/H$12)</f>
        <v>-4.3019687485192928E-2</v>
      </c>
      <c r="K96" s="17"/>
      <c r="L96" s="23">
        <f>+D96-H96</f>
        <v>12312.53999999999</v>
      </c>
      <c r="M96" s="17"/>
      <c r="N96" s="22">
        <f>IF(H96=0,0,L96/H96)</f>
        <v>-1.539286848375897</v>
      </c>
      <c r="O96" s="27"/>
      <c r="P96" s="23">
        <f>+P50-P52+P91</f>
        <v>76376.369999999908</v>
      </c>
      <c r="Q96" s="15"/>
      <c r="R96" s="22">
        <f>IF(P$12=0,0,P96/P$12)</f>
        <v>5.9033673927238968E-2</v>
      </c>
      <c r="S96" s="15"/>
      <c r="T96" s="23">
        <f>+T50-T52+T91</f>
        <v>-23854.020000000106</v>
      </c>
      <c r="U96" s="15"/>
      <c r="V96" s="22">
        <f>IF(T$12=0,0,T96/T$12)</f>
        <v>-1.4998083586801261E-2</v>
      </c>
      <c r="W96" s="17"/>
      <c r="X96" s="23">
        <f>+P96-T96</f>
        <v>100230.39000000001</v>
      </c>
      <c r="Y96" s="17"/>
      <c r="Z96" s="22">
        <f>IF(T96=0,0,X96/T96)</f>
        <v>-4.2018238435282429</v>
      </c>
    </row>
    <row r="97" spans="1:26" ht="15" customHeight="1" x14ac:dyDescent="0.3">
      <c r="A97" s="10"/>
      <c r="B97" s="11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2" customFormat="1" ht="15" customHeight="1" x14ac:dyDescent="0.3">
      <c r="A98" s="48"/>
      <c r="B98" s="11" t="s">
        <v>292</v>
      </c>
      <c r="C98" s="11"/>
      <c r="D98" s="5">
        <v>12919.92</v>
      </c>
      <c r="E98" s="5"/>
      <c r="F98" s="13">
        <f>IF(D$12=0,0,D98/D$12)</f>
        <v>7.5401097512956428E-2</v>
      </c>
      <c r="G98" s="5"/>
      <c r="H98" s="5">
        <v>60009.69</v>
      </c>
      <c r="I98" s="5"/>
      <c r="J98" s="13">
        <f>IF(H$12=0,0,H98/H$12)</f>
        <v>0.32274575500550268</v>
      </c>
      <c r="K98" s="5"/>
      <c r="L98" s="5">
        <f>+D98-H98</f>
        <v>-47089.770000000004</v>
      </c>
      <c r="M98" s="5"/>
      <c r="N98" s="13">
        <f>IF(H98=0,0,L98/H98)</f>
        <v>-0.78470277050256387</v>
      </c>
      <c r="O98" s="11"/>
      <c r="P98" s="5">
        <v>161492.66</v>
      </c>
      <c r="Q98" s="5"/>
      <c r="R98" s="13">
        <f>IF(P$12=0,0,P98/P$12)</f>
        <v>0.12482270409136333</v>
      </c>
      <c r="S98" s="5"/>
      <c r="T98" s="5">
        <v>314970.19</v>
      </c>
      <c r="U98" s="5"/>
      <c r="V98" s="13">
        <f>IF(T$12=0,0,T98/T$12)</f>
        <v>0.19803577078289755</v>
      </c>
      <c r="W98" s="5"/>
      <c r="X98" s="5">
        <f>+P98-T98</f>
        <v>-153477.53</v>
      </c>
      <c r="Y98" s="5"/>
      <c r="Z98" s="13">
        <f>IF(T98=0,0,X98/T98)</f>
        <v>-0.48727636732860335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2" customFormat="1" ht="15" customHeight="1" x14ac:dyDescent="0.3">
      <c r="A100" s="11"/>
      <c r="B100" s="28" t="s">
        <v>293</v>
      </c>
      <c r="C100" s="28"/>
      <c r="D100" s="33">
        <f>+D96-D98</f>
        <v>-8606.2399999999852</v>
      </c>
      <c r="E100" s="15"/>
      <c r="F100" s="34">
        <f>IF(D$12=0,0,D100/D$12)</f>
        <v>-5.0226312659823358E-2</v>
      </c>
      <c r="G100" s="15"/>
      <c r="H100" s="33">
        <f>+H96-H98</f>
        <v>-68008.549999999974</v>
      </c>
      <c r="I100" s="15"/>
      <c r="J100" s="34">
        <f>IF(H$12=0,0,H100/H$12)</f>
        <v>-0.36576544249069559</v>
      </c>
      <c r="K100" s="17"/>
      <c r="L100" s="33">
        <f>D100-H100</f>
        <v>59402.30999999999</v>
      </c>
      <c r="M100" s="17"/>
      <c r="N100" s="34">
        <f>IF(H100=0,0,L100/H100)</f>
        <v>-0.8734535584128762</v>
      </c>
      <c r="O100" s="27"/>
      <c r="P100" s="33">
        <f>+P96-P98</f>
        <v>-85116.290000000095</v>
      </c>
      <c r="Q100" s="15"/>
      <c r="R100" s="34">
        <f>IF(P$12=0,0,P100/P$12)</f>
        <v>-6.5789030164124351E-2</v>
      </c>
      <c r="S100" s="15"/>
      <c r="T100" s="33">
        <f>+T96-T98</f>
        <v>-338824.21000000008</v>
      </c>
      <c r="U100" s="15"/>
      <c r="V100" s="34">
        <f>IF(T$12=0,0,T100/T$12)</f>
        <v>-0.21303385436969879</v>
      </c>
      <c r="W100" s="17"/>
      <c r="X100" s="33">
        <f>P100-T100</f>
        <v>253707.91999999998</v>
      </c>
      <c r="Y100" s="17"/>
      <c r="Z100" s="34">
        <f>IF(T100=0,0,X100/T100)</f>
        <v>-0.74878923203274028</v>
      </c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296</v>
      </c>
      <c r="C103" s="28"/>
      <c r="D103" s="35">
        <f>SUM(D100:D102)</f>
        <v>-8606.2399999999852</v>
      </c>
      <c r="E103" s="15"/>
      <c r="F103" s="29">
        <f>IF(D$12=0,0,D103/D$12)</f>
        <v>-5.0226312659823358E-2</v>
      </c>
      <c r="G103" s="15"/>
      <c r="H103" s="35">
        <f>SUM(H100:H102)</f>
        <v>-68008.549999999974</v>
      </c>
      <c r="I103" s="15"/>
      <c r="J103" s="29">
        <f>IF(H$12=0,0,H103/H$12)</f>
        <v>-0.36576544249069559</v>
      </c>
      <c r="K103" s="17"/>
      <c r="L103" s="35">
        <f>+D103-H103</f>
        <v>59402.30999999999</v>
      </c>
      <c r="M103" s="17"/>
      <c r="N103" s="29">
        <f>IF(H103=0,0,L103/H103)</f>
        <v>-0.8734535584128762</v>
      </c>
      <c r="O103" s="27"/>
      <c r="P103" s="35">
        <f>SUM(P100:P102)</f>
        <v>-85116.290000000095</v>
      </c>
      <c r="Q103" s="15"/>
      <c r="R103" s="29">
        <f>IF(P$12=0,0,P103/P$12)</f>
        <v>-6.5789030164124351E-2</v>
      </c>
      <c r="S103" s="15"/>
      <c r="T103" s="35">
        <f>SUM(T100:T102)</f>
        <v>-338824.21000000008</v>
      </c>
      <c r="U103" s="15"/>
      <c r="V103" s="29">
        <f>IF(T$12=0,0,T103/T$12)</f>
        <v>-0.21303385436969879</v>
      </c>
      <c r="W103" s="17"/>
      <c r="X103" s="35">
        <f>+P103-T103</f>
        <v>253707.91999999998</v>
      </c>
      <c r="Y103" s="17"/>
      <c r="Z103" s="29">
        <f>IF(T103=0,0,X103/T103)</f>
        <v>-0.74878923203274028</v>
      </c>
    </row>
    <row r="104" spans="1:26" ht="15" customHeight="1" x14ac:dyDescent="0.3">
      <c r="A104" s="10"/>
      <c r="C104" s="10"/>
      <c r="D104" s="18"/>
      <c r="E104" s="18"/>
      <c r="G104" s="18"/>
      <c r="H104" s="18"/>
      <c r="I104" s="18"/>
      <c r="J104" s="41"/>
      <c r="K104" s="18"/>
      <c r="L104" s="18"/>
      <c r="M104" s="18"/>
      <c r="P104" s="18"/>
      <c r="Q104" s="18"/>
      <c r="R104" s="41"/>
      <c r="S104" s="18"/>
      <c r="T104" s="18"/>
      <c r="U104" s="18"/>
      <c r="V104" s="41"/>
      <c r="W104" s="18"/>
      <c r="X104" s="18"/>
    </row>
    <row r="105" spans="1:26" ht="15" customHeight="1" x14ac:dyDescent="0.3">
      <c r="A105" s="10"/>
      <c r="B105" s="50">
        <v>44634.887810300927</v>
      </c>
      <c r="D105" s="18"/>
      <c r="E105" s="18"/>
      <c r="G105" s="18"/>
      <c r="H105" s="18"/>
      <c r="I105" s="18"/>
      <c r="J105" s="41"/>
      <c r="K105" s="18"/>
      <c r="L105" s="18"/>
      <c r="M105" s="18"/>
      <c r="P105" s="18"/>
      <c r="Q105" s="18"/>
      <c r="R105" s="41"/>
      <c r="S105" s="18"/>
      <c r="T105" s="18"/>
      <c r="U105" s="18"/>
      <c r="V105" s="41"/>
      <c r="W105" s="18"/>
      <c r="X105" s="18"/>
    </row>
    <row r="106" spans="1:26" ht="15" customHeight="1" x14ac:dyDescent="0.3">
      <c r="A106" s="10"/>
      <c r="B106" s="58" t="s">
        <v>297</v>
      </c>
      <c r="D106" s="18"/>
      <c r="E106" s="18"/>
      <c r="G106" s="18"/>
      <c r="H106" s="18"/>
      <c r="I106" s="18"/>
      <c r="J106" s="41"/>
      <c r="K106" s="18"/>
      <c r="L106" s="18"/>
      <c r="M106" s="18"/>
      <c r="P106" s="18"/>
      <c r="Q106" s="18"/>
      <c r="R106" s="41"/>
      <c r="S106" s="18"/>
      <c r="T106" s="18"/>
      <c r="U106" s="18"/>
      <c r="V106" s="41"/>
      <c r="W106" s="18"/>
      <c r="X106" s="18"/>
    </row>
    <row r="107" spans="1:26" ht="15" customHeight="1" x14ac:dyDescent="0.3">
      <c r="A107" s="10"/>
      <c r="B107" s="56"/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  <row r="108" spans="1:26" ht="15" customHeight="1" x14ac:dyDescent="0.3">
      <c r="D108" s="18"/>
      <c r="E108" s="18"/>
      <c r="G108" s="18"/>
      <c r="H108" s="18"/>
      <c r="I108" s="18"/>
      <c r="J108" s="41"/>
      <c r="K108" s="18"/>
      <c r="L108" s="18"/>
      <c r="M108" s="18"/>
      <c r="P108" s="18"/>
      <c r="Q108" s="18"/>
      <c r="R108" s="41"/>
      <c r="S108" s="18"/>
      <c r="T108" s="18"/>
      <c r="U108" s="18"/>
      <c r="V108" s="41"/>
      <c r="W108" s="18"/>
      <c r="X108" s="18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D6BE2-F8E2-F791-9A98-E30AB5F4EC1E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93865.96</v>
      </c>
      <c r="E12" s="5"/>
      <c r="F12" s="13"/>
      <c r="G12" s="5"/>
      <c r="H12" s="5">
        <f>SUM(OSRRefH13x_0)</f>
        <v>134</v>
      </c>
      <c r="I12" s="5"/>
      <c r="J12" s="13"/>
      <c r="K12" s="5"/>
      <c r="L12" s="5">
        <f t="shared" ref="L12:L23" si="0">+D12-H12</f>
        <v>93731.96</v>
      </c>
      <c r="M12" s="5"/>
      <c r="N12" s="13">
        <f t="shared" ref="N12:N23" si="1">IF(H12=0,0,L12/H12)</f>
        <v>699.49223880597015</v>
      </c>
      <c r="O12" s="11"/>
      <c r="P12" s="5">
        <f>SUM(OSRRefP13x_0)</f>
        <v>175106.92</v>
      </c>
      <c r="Q12" s="5"/>
      <c r="R12" s="13"/>
      <c r="S12" s="5"/>
      <c r="T12" s="5">
        <f>SUM(OSRRefT13x_0)</f>
        <v>2720.4700000000003</v>
      </c>
      <c r="U12" s="5"/>
      <c r="V12" s="13"/>
      <c r="W12" s="5"/>
      <c r="X12" s="5">
        <f t="shared" ref="X12:X23" si="2">+P12-T12</f>
        <v>172386.45</v>
      </c>
      <c r="Y12" s="5"/>
      <c r="Z12" s="13">
        <f t="shared" ref="Z12:Z23" si="3">IF(T12=0,0,X12/T12)</f>
        <v>63.366421978555174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--14914.64</f>
        <v>14914.64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14914.64</v>
      </c>
      <c r="M13" s="3"/>
      <c r="N13" s="20">
        <f t="shared" si="1"/>
        <v>0</v>
      </c>
      <c r="O13" s="12"/>
      <c r="P13" s="3">
        <f>--28469.2</f>
        <v>28469.200000000001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28469.200000000001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--25.17</f>
        <v>25.17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25.17</v>
      </c>
      <c r="M16" s="3"/>
      <c r="N16" s="20">
        <f t="shared" si="1"/>
        <v>0</v>
      </c>
      <c r="O16" s="12"/>
      <c r="P16" s="3">
        <f>--25.17</f>
        <v>25.17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25.17</v>
      </c>
      <c r="Y16" s="3"/>
      <c r="Z16" s="20">
        <f t="shared" si="3"/>
        <v>0</v>
      </c>
    </row>
    <row r="17" spans="1:26" s="69" customFormat="1" ht="15" hidden="1" customHeight="1" outlineLevel="1" x14ac:dyDescent="0.3">
      <c r="A17" s="42"/>
      <c r="B17" s="12" t="str">
        <f>CONCATENATE("          ","4053"," - ","TAXABLE SALES-FOOD")</f>
        <v xml:space="preserve">          4053 -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--698.72</f>
        <v>698.72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698.72</v>
      </c>
      <c r="Y17" s="3"/>
      <c r="Z17" s="20">
        <f t="shared" si="3"/>
        <v>0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--78719.83</f>
        <v>78719.83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78719.83</v>
      </c>
      <c r="M18" s="3"/>
      <c r="N18" s="20">
        <f t="shared" si="1"/>
        <v>0</v>
      </c>
      <c r="O18" s="12"/>
      <c r="P18" s="3">
        <f>--145707.51</f>
        <v>145707.51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145707.51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","4132"," - ","NON-TAXABLE SALES-JUICE")</f>
        <v xml:space="preserve">          4132 - NON-TAXABLE SALES-JUICE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--2031.88</f>
        <v>2031.88</v>
      </c>
      <c r="U19" s="3"/>
      <c r="V19" s="20"/>
      <c r="W19" s="3"/>
      <c r="X19" s="3">
        <f t="shared" si="2"/>
        <v>-2031.88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","4134"," - ","NON-TAXABLE SALES-SODA")</f>
        <v xml:space="preserve">          4134 - NON-TAXABLE SALES-SODA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","4137"," - ","NON-TAXABLE SALES-WATER")</f>
        <v xml:space="preserve">          4137 - NON-TAXABLE SALES-WATER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0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","4151"," - ","NON-TAXABLE SALES-FOOD")</f>
        <v xml:space="preserve">          4151 - NON-TAXABLE SALES-FOOD</v>
      </c>
      <c r="C22" s="12"/>
      <c r="D22" s="3">
        <f>--206.32</f>
        <v>206.32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206.32</v>
      </c>
      <c r="M22" s="3"/>
      <c r="N22" s="20">
        <f t="shared" si="1"/>
        <v>0</v>
      </c>
      <c r="O22" s="12"/>
      <c r="P22" s="3">
        <f>--206.32</f>
        <v>206.32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206.32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","4153"," - ","NON-TAXABLE SALES-FOOD")</f>
        <v xml:space="preserve">          4153 - NON-TAXABLE SALES-FOOD</v>
      </c>
      <c r="C23" s="12"/>
      <c r="D23" s="3">
        <f>0</f>
        <v>0</v>
      </c>
      <c r="E23" s="3"/>
      <c r="F23" s="20"/>
      <c r="G23" s="3"/>
      <c r="H23" s="3">
        <f>--134</f>
        <v>134</v>
      </c>
      <c r="I23" s="3"/>
      <c r="J23" s="20"/>
      <c r="K23" s="3"/>
      <c r="L23" s="3">
        <f t="shared" si="0"/>
        <v>-134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--244</f>
        <v>244</v>
      </c>
      <c r="U23" s="3"/>
      <c r="V23" s="20"/>
      <c r="W23" s="3"/>
      <c r="X23" s="3">
        <f t="shared" si="2"/>
        <v>-244</v>
      </c>
      <c r="Y23" s="3"/>
      <c r="Z23" s="20">
        <f t="shared" si="3"/>
        <v>-1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2" customFormat="1" ht="15" customHeight="1" collapsed="1" x14ac:dyDescent="0.3">
      <c r="A25" s="11"/>
      <c r="B25" s="27" t="s">
        <v>287</v>
      </c>
      <c r="C25" s="11"/>
      <c r="D25" s="5">
        <f>SUM(OSRRefD16x_0)</f>
        <v>45739.7</v>
      </c>
      <c r="E25" s="5"/>
      <c r="F25" s="13">
        <f>IF(D$12=0,0,D25/D$12)</f>
        <v>0.48728740429437883</v>
      </c>
      <c r="G25" s="5"/>
      <c r="H25" s="5">
        <f>SUM(OSRRefH16x_0)</f>
        <v>19149</v>
      </c>
      <c r="I25" s="5"/>
      <c r="J25" s="13">
        <f>IF(H$12=0,0,H25/H$12)</f>
        <v>142.90298507462686</v>
      </c>
      <c r="K25" s="5"/>
      <c r="L25" s="5">
        <f>+D25-H25</f>
        <v>26590.699999999997</v>
      </c>
      <c r="M25" s="5"/>
      <c r="N25" s="13">
        <f>IF(H25=0,0,L25/H25)</f>
        <v>1.3886208157083919</v>
      </c>
      <c r="O25" s="11"/>
      <c r="P25" s="5">
        <f>SUM(OSRRefP16x_0)</f>
        <v>98084.79</v>
      </c>
      <c r="Q25" s="5"/>
      <c r="R25" s="13">
        <f>IF(P$12=0,0,P25/P$12)</f>
        <v>0.56014228335464977</v>
      </c>
      <c r="S25" s="5"/>
      <c r="T25" s="5">
        <f>SUM(OSRRefT16x_0)</f>
        <v>28023.96</v>
      </c>
      <c r="U25" s="5"/>
      <c r="V25" s="13">
        <f>IF(T$12=0,0,T25/T$12)</f>
        <v>10.301146493069211</v>
      </c>
      <c r="W25" s="5"/>
      <c r="X25" s="5">
        <f>+P25-T25</f>
        <v>70060.829999999987</v>
      </c>
      <c r="Y25" s="5"/>
      <c r="Z25" s="13">
        <f>IF(T25=0,0,X25/T25)</f>
        <v>2.5000331858880753</v>
      </c>
    </row>
    <row r="26" spans="1:26" s="69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-10213</v>
      </c>
      <c r="E26" s="3"/>
      <c r="F26" s="20">
        <f>IF(D$12=0,0,D26/D$12)</f>
        <v>-0.10880408616712596</v>
      </c>
      <c r="G26" s="3"/>
      <c r="H26" s="3"/>
      <c r="I26" s="3"/>
      <c r="J26" s="20">
        <f>IF(H$12=0,0,H26/H$12)</f>
        <v>0</v>
      </c>
      <c r="K26" s="3"/>
      <c r="L26" s="3">
        <f>+D26-H26</f>
        <v>-10213</v>
      </c>
      <c r="M26" s="3"/>
      <c r="N26" s="20">
        <f>IF(H26=0,0,L26/H26)</f>
        <v>0</v>
      </c>
      <c r="O26" s="12"/>
      <c r="P26" s="3">
        <v>-10213</v>
      </c>
      <c r="Q26" s="3"/>
      <c r="R26" s="20">
        <f>IF(P$12=0,0,P26/P$12)</f>
        <v>-5.8324365479102705E-2</v>
      </c>
      <c r="S26" s="3"/>
      <c r="T26" s="3"/>
      <c r="U26" s="3"/>
      <c r="V26" s="20">
        <f>IF(T$12=0,0,T26/T$12)</f>
        <v>0</v>
      </c>
      <c r="W26" s="3"/>
      <c r="X26" s="3">
        <f>+P26-T26</f>
        <v>-10213</v>
      </c>
      <c r="Y26" s="3"/>
      <c r="Z26" s="20">
        <f>IF(T26=0,0,X26/T26)</f>
        <v>0</v>
      </c>
    </row>
    <row r="27" spans="1:26" s="69" customFormat="1" ht="15" hidden="1" customHeight="1" outlineLevel="1" x14ac:dyDescent="0.3">
      <c r="A27" s="42"/>
      <c r="B27" s="12" t="str">
        <f>CONCATENATE("          ","5053"," - ","PURCHASES @ COST-FOOD")</f>
        <v xml:space="preserve">          5053 - PURCHASES @ COST-FOOD</v>
      </c>
      <c r="C27" s="12"/>
      <c r="D27" s="3"/>
      <c r="E27" s="3"/>
      <c r="F27" s="20">
        <f>IF(D$12=0,0,D27/D$12)</f>
        <v>0</v>
      </c>
      <c r="G27" s="3"/>
      <c r="H27" s="3"/>
      <c r="I27" s="3"/>
      <c r="J27" s="20">
        <f>IF(H$12=0,0,H27/H$12)</f>
        <v>0</v>
      </c>
      <c r="K27" s="3"/>
      <c r="L27" s="3">
        <f>+D27-H27</f>
        <v>0</v>
      </c>
      <c r="M27" s="3"/>
      <c r="N27" s="20">
        <f>IF(H27=0,0,L27/H27)</f>
        <v>0</v>
      </c>
      <c r="O27" s="12"/>
      <c r="P27" s="3">
        <v>41937.61</v>
      </c>
      <c r="Q27" s="3"/>
      <c r="R27" s="20">
        <f>IF(P$12=0,0,P27/P$12)</f>
        <v>0.23949715979242853</v>
      </c>
      <c r="S27" s="3"/>
      <c r="T27" s="3">
        <v>-2822.95</v>
      </c>
      <c r="U27" s="3"/>
      <c r="V27" s="20">
        <f>IF(T$12=0,0,T27/T$12)</f>
        <v>-1.0376699614404863</v>
      </c>
      <c r="W27" s="3"/>
      <c r="X27" s="3">
        <f>+P27-T27</f>
        <v>44760.56</v>
      </c>
      <c r="Y27" s="3"/>
      <c r="Z27" s="20">
        <f>IF(T27=0,0,X27/T27)</f>
        <v>-15.855952106838592</v>
      </c>
    </row>
    <row r="28" spans="1:26" s="69" customFormat="1" ht="15" hidden="1" customHeight="1" outlineLevel="1" x14ac:dyDescent="0.3">
      <c r="A28" s="42"/>
      <c r="B28" s="12" t="str">
        <f>CONCATENATE("          ","5059"," - ","PURCHASES @ COST-FOOD")</f>
        <v xml:space="preserve">          5059 - PURCHASES @ COST-FOOD</v>
      </c>
      <c r="C28" s="12"/>
      <c r="D28" s="3">
        <v>55952.7</v>
      </c>
      <c r="E28" s="3"/>
      <c r="F28" s="20">
        <f>IF(D$12=0,0,D28/D$12)</f>
        <v>0.59609149046150478</v>
      </c>
      <c r="G28" s="3"/>
      <c r="H28" s="3">
        <v>19149</v>
      </c>
      <c r="I28" s="3"/>
      <c r="J28" s="20">
        <f>IF(H$12=0,0,H28/H$12)</f>
        <v>142.90298507462686</v>
      </c>
      <c r="K28" s="3"/>
      <c r="L28" s="3">
        <f>+D28-H28</f>
        <v>36803.699999999997</v>
      </c>
      <c r="M28" s="3"/>
      <c r="N28" s="20">
        <f>IF(H28=0,0,L28/H28)</f>
        <v>1.921964593451355</v>
      </c>
      <c r="O28" s="12"/>
      <c r="P28" s="3">
        <v>66360.179999999993</v>
      </c>
      <c r="Q28" s="3"/>
      <c r="R28" s="20">
        <f>IF(P$12=0,0,P28/P$12)</f>
        <v>0.37896948904132394</v>
      </c>
      <c r="S28" s="3"/>
      <c r="T28" s="3">
        <v>30846.91</v>
      </c>
      <c r="U28" s="3"/>
      <c r="V28" s="20">
        <f>IF(T$12=0,0,T28/T$12)</f>
        <v>11.338816454509697</v>
      </c>
      <c r="W28" s="3"/>
      <c r="X28" s="3">
        <f>+P28-T28</f>
        <v>35513.26999999999</v>
      </c>
      <c r="Y28" s="3"/>
      <c r="Z28" s="20">
        <f>IF(T28=0,0,X28/T28)</f>
        <v>1.1512747954333187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288</v>
      </c>
      <c r="C30" s="28"/>
      <c r="D30" s="23">
        <f>D12-D25</f>
        <v>48126.260000000009</v>
      </c>
      <c r="E30" s="15"/>
      <c r="F30" s="22">
        <f>IF(D$12=0,0,D30/D$12)</f>
        <v>0.51271259570562111</v>
      </c>
      <c r="G30" s="15"/>
      <c r="H30" s="23">
        <f>H12-H25</f>
        <v>-19015</v>
      </c>
      <c r="I30" s="15"/>
      <c r="J30" s="22">
        <f>IF(H$12=0,0,H30/H$12)</f>
        <v>-141.90298507462686</v>
      </c>
      <c r="K30" s="17"/>
      <c r="L30" s="23">
        <f>+D30-H30</f>
        <v>67141.260000000009</v>
      </c>
      <c r="M30" s="17"/>
      <c r="N30" s="22">
        <f>IF(H30=0,0,L30/H30)</f>
        <v>-3.5309629240073632</v>
      </c>
      <c r="O30" s="27"/>
      <c r="P30" s="23">
        <f>P12-P25</f>
        <v>77022.130000000019</v>
      </c>
      <c r="Q30" s="15"/>
      <c r="R30" s="22">
        <f>IF(P$12=0,0,P30/P$12)</f>
        <v>0.43985771664535023</v>
      </c>
      <c r="S30" s="15"/>
      <c r="T30" s="23">
        <f>T12-T25</f>
        <v>-25303.489999999998</v>
      </c>
      <c r="U30" s="15"/>
      <c r="V30" s="22">
        <f>IF(T$12=0,0,T30/T$12)</f>
        <v>-9.3011464930692114</v>
      </c>
      <c r="W30" s="17"/>
      <c r="X30" s="23">
        <f>+P30-T30</f>
        <v>102325.62000000002</v>
      </c>
      <c r="Y30" s="17"/>
      <c r="Z30" s="22">
        <f>IF(T30=0,0,X30/T30)</f>
        <v>-4.0439330701021889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7" t="s">
        <v>289</v>
      </c>
      <c r="C32" s="11"/>
      <c r="D32" s="21" cm="1">
        <f t="array" ref="D32">SUM(OSRRefD22x_0)</f>
        <v>54090.270000000011</v>
      </c>
      <c r="E32" s="21"/>
      <c r="F32" s="30">
        <f t="shared" ref="F32:F63" si="4">IF(D$12=0,0,D32/D$12)</f>
        <v>0.57625011239431212</v>
      </c>
      <c r="G32" s="21"/>
      <c r="H32" s="21" cm="1">
        <f t="array" ref="H32">SUM(OSRRefH22x_0)</f>
        <v>15632.02</v>
      </c>
      <c r="I32" s="21"/>
      <c r="J32" s="30">
        <f t="shared" ref="J32:J63" si="5">IF(H$12=0,0,H32/H$12)</f>
        <v>116.6568656716418</v>
      </c>
      <c r="K32" s="5"/>
      <c r="L32" s="21">
        <f t="shared" ref="L32:L63" si="6">+D32-H32</f>
        <v>38458.250000000015</v>
      </c>
      <c r="M32" s="5"/>
      <c r="N32" s="30">
        <f t="shared" ref="N32:N63" si="7">IF(H32=0,0,L32/H32)</f>
        <v>2.4602226711583031</v>
      </c>
      <c r="O32" s="11"/>
      <c r="P32" s="21" cm="1">
        <f t="array" ref="P32">SUM(OSRRefP22x_0)</f>
        <v>203631.26000000004</v>
      </c>
      <c r="Q32" s="21"/>
      <c r="R32" s="30">
        <f t="shared" ref="R32:R63" si="8">IF(P$12=0,0,P32/P$12)</f>
        <v>1.1628967033398796</v>
      </c>
      <c r="S32" s="21"/>
      <c r="T32" s="21" cm="1">
        <f t="array" ref="T32">SUM(OSRRefT22x_0)</f>
        <v>203591.91000000003</v>
      </c>
      <c r="U32" s="21"/>
      <c r="V32" s="30">
        <f t="shared" ref="V32:V63" si="9">IF(T$12=0,0,T32/T$12)</f>
        <v>74.837035512246047</v>
      </c>
      <c r="W32" s="5"/>
      <c r="X32" s="21">
        <f t="shared" ref="X32:X63" si="10">+P32-T32</f>
        <v>39.350000000005821</v>
      </c>
      <c r="Y32" s="5"/>
      <c r="Z32" s="30">
        <f t="shared" ref="Z32:Z63" si="11">IF(T32=0,0,X32/T32)</f>
        <v>1.9327879973229689E-4</v>
      </c>
    </row>
    <row r="33" spans="1:26" s="68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6663.8600000000006</v>
      </c>
      <c r="E33" s="2"/>
      <c r="F33" s="6">
        <f t="shared" si="4"/>
        <v>7.0993361171611091E-2</v>
      </c>
      <c r="G33" s="2"/>
      <c r="H33" s="2">
        <f>SUM(OSRRefH22_0x_0)</f>
        <v>0</v>
      </c>
      <c r="I33" s="2"/>
      <c r="J33" s="6">
        <f t="shared" si="5"/>
        <v>0</v>
      </c>
      <c r="K33" s="2"/>
      <c r="L33" s="2">
        <f t="shared" si="6"/>
        <v>6663.8600000000006</v>
      </c>
      <c r="M33" s="2"/>
      <c r="N33" s="6">
        <f t="shared" si="7"/>
        <v>0</v>
      </c>
      <c r="O33" s="14"/>
      <c r="P33" s="2">
        <f>SUM(OSRRefP22_0x_0)</f>
        <v>15658.329999999998</v>
      </c>
      <c r="Q33" s="2"/>
      <c r="R33" s="6">
        <f t="shared" si="8"/>
        <v>8.9421537424106357E-2</v>
      </c>
      <c r="S33" s="2"/>
      <c r="T33" s="2">
        <f>SUM(OSRRefT22_0x_0)</f>
        <v>35025.26</v>
      </c>
      <c r="U33" s="2"/>
      <c r="V33" s="6">
        <f t="shared" si="9"/>
        <v>12.874709149521957</v>
      </c>
      <c r="W33" s="2"/>
      <c r="X33" s="2">
        <f t="shared" si="10"/>
        <v>-19366.930000000004</v>
      </c>
      <c r="Y33" s="2"/>
      <c r="Z33" s="6">
        <f t="shared" si="11"/>
        <v>-0.55294179115301367</v>
      </c>
    </row>
    <row r="34" spans="1:26" s="69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8">
        <v>1021.75</v>
      </c>
      <c r="E34" s="3"/>
      <c r="F34" s="7">
        <f t="shared" si="4"/>
        <v>1.0885202686895227E-2</v>
      </c>
      <c r="G34" s="3"/>
      <c r="H34" s="8"/>
      <c r="I34" s="3"/>
      <c r="J34" s="7">
        <f t="shared" si="5"/>
        <v>0</v>
      </c>
      <c r="K34" s="3"/>
      <c r="L34" s="8">
        <f t="shared" si="6"/>
        <v>1021.75</v>
      </c>
      <c r="M34" s="3"/>
      <c r="N34" s="7">
        <f t="shared" si="7"/>
        <v>0</v>
      </c>
      <c r="O34" s="12"/>
      <c r="P34" s="8">
        <v>3151.18</v>
      </c>
      <c r="Q34" s="3"/>
      <c r="R34" s="7">
        <f t="shared" si="8"/>
        <v>1.7995747969297843E-2</v>
      </c>
      <c r="S34" s="3"/>
      <c r="T34" s="8">
        <v>3909.68</v>
      </c>
      <c r="U34" s="3"/>
      <c r="V34" s="7">
        <f t="shared" si="9"/>
        <v>1.4371340246354489</v>
      </c>
      <c r="W34" s="3"/>
      <c r="X34" s="8">
        <f t="shared" si="10"/>
        <v>-758.5</v>
      </c>
      <c r="Y34" s="3"/>
      <c r="Z34" s="7">
        <f t="shared" si="11"/>
        <v>-0.19400564752102475</v>
      </c>
    </row>
    <row r="35" spans="1:26" s="69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8">
        <v>325.41000000000003</v>
      </c>
      <c r="E35" s="3"/>
      <c r="F35" s="7">
        <f t="shared" si="4"/>
        <v>3.4667519513996341E-3</v>
      </c>
      <c r="G35" s="3"/>
      <c r="H35" s="8"/>
      <c r="I35" s="3"/>
      <c r="J35" s="7">
        <f t="shared" si="5"/>
        <v>0</v>
      </c>
      <c r="K35" s="3"/>
      <c r="L35" s="8">
        <f t="shared" si="6"/>
        <v>325.41000000000003</v>
      </c>
      <c r="M35" s="3"/>
      <c r="N35" s="7">
        <f t="shared" si="7"/>
        <v>0</v>
      </c>
      <c r="O35" s="12"/>
      <c r="P35" s="8">
        <v>1006.64</v>
      </c>
      <c r="Q35" s="3"/>
      <c r="R35" s="7">
        <f t="shared" si="8"/>
        <v>5.7487162700366147E-3</v>
      </c>
      <c r="S35" s="3"/>
      <c r="T35" s="8">
        <v>830.67</v>
      </c>
      <c r="U35" s="3"/>
      <c r="V35" s="7">
        <f t="shared" si="9"/>
        <v>0.30534062128970357</v>
      </c>
      <c r="W35" s="3"/>
      <c r="X35" s="8">
        <f t="shared" si="10"/>
        <v>175.97000000000003</v>
      </c>
      <c r="Y35" s="3"/>
      <c r="Z35" s="7">
        <f t="shared" si="11"/>
        <v>0.2118410439765491</v>
      </c>
    </row>
    <row r="36" spans="1:26" s="69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8">
        <v>3036.68</v>
      </c>
      <c r="E36" s="3"/>
      <c r="F36" s="7">
        <f t="shared" si="4"/>
        <v>3.2351237871535106E-2</v>
      </c>
      <c r="G36" s="3"/>
      <c r="H36" s="8"/>
      <c r="I36" s="3"/>
      <c r="J36" s="7">
        <f t="shared" si="5"/>
        <v>0</v>
      </c>
      <c r="K36" s="3"/>
      <c r="L36" s="8">
        <f t="shared" si="6"/>
        <v>3036.68</v>
      </c>
      <c r="M36" s="3"/>
      <c r="N36" s="7">
        <f t="shared" si="7"/>
        <v>0</v>
      </c>
      <c r="O36" s="12"/>
      <c r="P36" s="8">
        <v>6107.14</v>
      </c>
      <c r="Q36" s="3"/>
      <c r="R36" s="7">
        <f t="shared" si="8"/>
        <v>3.487663423010353E-2</v>
      </c>
      <c r="S36" s="3"/>
      <c r="T36" s="8">
        <v>18067.72</v>
      </c>
      <c r="U36" s="3"/>
      <c r="V36" s="7">
        <f t="shared" si="9"/>
        <v>6.641396523394854</v>
      </c>
      <c r="W36" s="3"/>
      <c r="X36" s="8">
        <f t="shared" si="10"/>
        <v>-11960.580000000002</v>
      </c>
      <c r="Y36" s="3"/>
      <c r="Z36" s="7">
        <f t="shared" si="11"/>
        <v>-0.6619861277460577</v>
      </c>
    </row>
    <row r="37" spans="1:26" s="69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8">
        <v>57.16</v>
      </c>
      <c r="E37" s="3"/>
      <c r="F37" s="7">
        <f t="shared" si="4"/>
        <v>6.0895344808703804E-4</v>
      </c>
      <c r="G37" s="3"/>
      <c r="H37" s="8"/>
      <c r="I37" s="3"/>
      <c r="J37" s="7">
        <f t="shared" si="5"/>
        <v>0</v>
      </c>
      <c r="K37" s="3"/>
      <c r="L37" s="8">
        <f t="shared" si="6"/>
        <v>57.16</v>
      </c>
      <c r="M37" s="3"/>
      <c r="N37" s="7">
        <f t="shared" si="7"/>
        <v>0</v>
      </c>
      <c r="O37" s="12"/>
      <c r="P37" s="8">
        <v>154.41</v>
      </c>
      <c r="Q37" s="3"/>
      <c r="R37" s="7">
        <f t="shared" si="8"/>
        <v>8.8180410003214026E-4</v>
      </c>
      <c r="S37" s="3"/>
      <c r="T37" s="8">
        <v>132.15</v>
      </c>
      <c r="U37" s="3"/>
      <c r="V37" s="7">
        <f t="shared" si="9"/>
        <v>4.8576165147933996E-2</v>
      </c>
      <c r="W37" s="3"/>
      <c r="X37" s="8">
        <f t="shared" si="10"/>
        <v>22.259999999999991</v>
      </c>
      <c r="Y37" s="3"/>
      <c r="Z37" s="7">
        <f t="shared" si="11"/>
        <v>0.16844494892167983</v>
      </c>
    </row>
    <row r="38" spans="1:26" s="69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8">
        <v>548.17999999999995</v>
      </c>
      <c r="E38" s="3"/>
      <c r="F38" s="7">
        <f t="shared" si="4"/>
        <v>5.8400297615876931E-3</v>
      </c>
      <c r="G38" s="3"/>
      <c r="H38" s="8"/>
      <c r="I38" s="3"/>
      <c r="J38" s="7">
        <f t="shared" si="5"/>
        <v>0</v>
      </c>
      <c r="K38" s="3"/>
      <c r="L38" s="8">
        <f t="shared" si="6"/>
        <v>548.17999999999995</v>
      </c>
      <c r="M38" s="3"/>
      <c r="N38" s="7">
        <f t="shared" si="7"/>
        <v>0</v>
      </c>
      <c r="O38" s="12"/>
      <c r="P38" s="8">
        <v>1096.3599999999999</v>
      </c>
      <c r="Q38" s="3"/>
      <c r="R38" s="7">
        <f t="shared" si="8"/>
        <v>6.2610889392606516E-3</v>
      </c>
      <c r="S38" s="3"/>
      <c r="T38" s="8">
        <v>5525.49</v>
      </c>
      <c r="U38" s="3"/>
      <c r="V38" s="7">
        <f t="shared" si="9"/>
        <v>2.0310791885225714</v>
      </c>
      <c r="W38" s="3"/>
      <c r="X38" s="8">
        <f t="shared" si="10"/>
        <v>-4429.13</v>
      </c>
      <c r="Y38" s="3"/>
      <c r="Z38" s="7">
        <f t="shared" si="11"/>
        <v>-0.80158139821083751</v>
      </c>
    </row>
    <row r="39" spans="1:26" s="69" customFormat="1" ht="15" hidden="1" customHeight="1" outlineLevel="2" x14ac:dyDescent="0.3">
      <c r="A39" s="26"/>
      <c r="B39" s="12" t="str">
        <f>CONCATENATE("          ","6117"," - ","RETIREMENT STAFF HOURLY")</f>
        <v xml:space="preserve">          6117 - RETIREMENT STAFF HOURLY</v>
      </c>
      <c r="C39" s="12"/>
      <c r="D39" s="8">
        <v>250.77</v>
      </c>
      <c r="E39" s="3"/>
      <c r="F39" s="7">
        <f t="shared" si="4"/>
        <v>2.6715755104406327E-3</v>
      </c>
      <c r="G39" s="3"/>
      <c r="H39" s="8"/>
      <c r="I39" s="3"/>
      <c r="J39" s="7">
        <f t="shared" si="5"/>
        <v>0</v>
      </c>
      <c r="K39" s="3"/>
      <c r="L39" s="8">
        <f t="shared" si="6"/>
        <v>250.77</v>
      </c>
      <c r="M39" s="3"/>
      <c r="N39" s="7">
        <f t="shared" si="7"/>
        <v>0</v>
      </c>
      <c r="O39" s="12"/>
      <c r="P39" s="8">
        <v>462.43</v>
      </c>
      <c r="Q39" s="3"/>
      <c r="R39" s="7">
        <f t="shared" si="8"/>
        <v>2.6408436628318284E-3</v>
      </c>
      <c r="S39" s="3"/>
      <c r="T39" s="8"/>
      <c r="U39" s="3"/>
      <c r="V39" s="7">
        <f t="shared" si="9"/>
        <v>0</v>
      </c>
      <c r="W39" s="3"/>
      <c r="X39" s="8">
        <f t="shared" si="10"/>
        <v>462.43</v>
      </c>
      <c r="Y39" s="3"/>
      <c r="Z39" s="7">
        <f t="shared" si="11"/>
        <v>0</v>
      </c>
    </row>
    <row r="40" spans="1:26" s="69" customFormat="1" ht="15" hidden="1" customHeight="1" outlineLevel="2" x14ac:dyDescent="0.3">
      <c r="A40" s="26"/>
      <c r="B40" s="12" t="str">
        <f>CONCATENATE("          ","6118"," - ","VACATION")</f>
        <v xml:space="preserve">          6118 - VACATION</v>
      </c>
      <c r="C40" s="12"/>
      <c r="D40" s="8">
        <v>531.67999999999995</v>
      </c>
      <c r="E40" s="3"/>
      <c r="F40" s="7">
        <f t="shared" si="4"/>
        <v>5.6642471882245695E-3</v>
      </c>
      <c r="G40" s="3"/>
      <c r="H40" s="8"/>
      <c r="I40" s="3"/>
      <c r="J40" s="7">
        <f t="shared" si="5"/>
        <v>0</v>
      </c>
      <c r="K40" s="3"/>
      <c r="L40" s="8">
        <f t="shared" si="6"/>
        <v>531.67999999999995</v>
      </c>
      <c r="M40" s="3"/>
      <c r="N40" s="7">
        <f t="shared" si="7"/>
        <v>0</v>
      </c>
      <c r="O40" s="12"/>
      <c r="P40" s="8">
        <v>1308.22</v>
      </c>
      <c r="Q40" s="3"/>
      <c r="R40" s="7">
        <f t="shared" si="8"/>
        <v>7.4709783028563343E-3</v>
      </c>
      <c r="S40" s="3"/>
      <c r="T40" s="8">
        <v>3386</v>
      </c>
      <c r="U40" s="3"/>
      <c r="V40" s="7">
        <f t="shared" si="9"/>
        <v>1.2446378750730571</v>
      </c>
      <c r="W40" s="3"/>
      <c r="X40" s="8">
        <f t="shared" si="10"/>
        <v>-2077.7799999999997</v>
      </c>
      <c r="Y40" s="3"/>
      <c r="Z40" s="7">
        <f t="shared" si="11"/>
        <v>-0.61363851151801529</v>
      </c>
    </row>
    <row r="41" spans="1:26" s="69" customFormat="1" ht="15" hidden="1" customHeight="1" outlineLevel="2" x14ac:dyDescent="0.3">
      <c r="A41" s="26"/>
      <c r="B41" s="12" t="str">
        <f>CONCATENATE("          ","6119"," - ","SICK LEAVE")</f>
        <v xml:space="preserve">          6119 - SICK LEAVE</v>
      </c>
      <c r="C41" s="12"/>
      <c r="D41" s="8">
        <v>427.98</v>
      </c>
      <c r="E41" s="3"/>
      <c r="F41" s="7">
        <f t="shared" si="4"/>
        <v>4.5594803483605768E-3</v>
      </c>
      <c r="G41" s="3"/>
      <c r="H41" s="8"/>
      <c r="I41" s="3"/>
      <c r="J41" s="7">
        <f t="shared" si="5"/>
        <v>0</v>
      </c>
      <c r="K41" s="3"/>
      <c r="L41" s="8">
        <f t="shared" si="6"/>
        <v>427.98</v>
      </c>
      <c r="M41" s="3"/>
      <c r="N41" s="7">
        <f t="shared" si="7"/>
        <v>0</v>
      </c>
      <c r="O41" s="12"/>
      <c r="P41" s="8">
        <v>1149.33</v>
      </c>
      <c r="Q41" s="3"/>
      <c r="R41" s="7">
        <f t="shared" si="8"/>
        <v>6.5635898341424763E-3</v>
      </c>
      <c r="S41" s="3"/>
      <c r="T41" s="8">
        <v>2447.1799999999998</v>
      </c>
      <c r="U41" s="3"/>
      <c r="V41" s="7">
        <f t="shared" si="9"/>
        <v>0.89954309365661067</v>
      </c>
      <c r="W41" s="3"/>
      <c r="X41" s="8">
        <f t="shared" si="10"/>
        <v>-1297.8499999999999</v>
      </c>
      <c r="Y41" s="3"/>
      <c r="Z41" s="7">
        <f t="shared" si="11"/>
        <v>-0.53034513194779298</v>
      </c>
    </row>
    <row r="42" spans="1:26" s="69" customFormat="1" ht="15" hidden="1" customHeight="1" outlineLevel="2" x14ac:dyDescent="0.3">
      <c r="A42" s="26"/>
      <c r="B42" s="12" t="str">
        <f>CONCATENATE("          ","6156"," - ","EMPLOYEE MEALS")</f>
        <v xml:space="preserve">          6156 - EMPLOYEE MEALS</v>
      </c>
      <c r="C42" s="12"/>
      <c r="D42" s="8">
        <v>464.25</v>
      </c>
      <c r="E42" s="3"/>
      <c r="F42" s="7">
        <f t="shared" si="4"/>
        <v>4.9458824050806057E-3</v>
      </c>
      <c r="G42" s="3"/>
      <c r="H42" s="8"/>
      <c r="I42" s="3"/>
      <c r="J42" s="7">
        <f t="shared" si="5"/>
        <v>0</v>
      </c>
      <c r="K42" s="3"/>
      <c r="L42" s="8">
        <f t="shared" si="6"/>
        <v>464.25</v>
      </c>
      <c r="M42" s="3"/>
      <c r="N42" s="7">
        <f t="shared" si="7"/>
        <v>0</v>
      </c>
      <c r="O42" s="12"/>
      <c r="P42" s="8">
        <v>1222.6199999999999</v>
      </c>
      <c r="Q42" s="3"/>
      <c r="R42" s="7">
        <f t="shared" si="8"/>
        <v>6.982134115544947E-3</v>
      </c>
      <c r="S42" s="3"/>
      <c r="T42" s="8">
        <v>726.37</v>
      </c>
      <c r="U42" s="3"/>
      <c r="V42" s="7">
        <f t="shared" si="9"/>
        <v>0.26700165780177687</v>
      </c>
      <c r="W42" s="3"/>
      <c r="X42" s="8">
        <f t="shared" si="10"/>
        <v>496.24999999999989</v>
      </c>
      <c r="Y42" s="3"/>
      <c r="Z42" s="7">
        <f t="shared" si="11"/>
        <v>0.68319176177430219</v>
      </c>
    </row>
    <row r="43" spans="1:26" s="68" customFormat="1" ht="15" customHeight="1" outlineLevel="1" collapsed="1" x14ac:dyDescent="0.3">
      <c r="A43" s="25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27163</v>
      </c>
      <c r="E43" s="2"/>
      <c r="F43" s="6">
        <f t="shared" si="4"/>
        <v>0.28938072971287992</v>
      </c>
      <c r="G43" s="2"/>
      <c r="H43" s="2">
        <f>SUM(OSRRefH22_1x_0)</f>
        <v>0</v>
      </c>
      <c r="I43" s="2"/>
      <c r="J43" s="6">
        <f t="shared" si="5"/>
        <v>0</v>
      </c>
      <c r="K43" s="2"/>
      <c r="L43" s="2">
        <f t="shared" si="6"/>
        <v>27163</v>
      </c>
      <c r="M43" s="2"/>
      <c r="N43" s="6">
        <f t="shared" si="7"/>
        <v>0</v>
      </c>
      <c r="O43" s="14"/>
      <c r="P43" s="2">
        <f>SUM(OSRRefP22_1x_0)</f>
        <v>66037.840000000011</v>
      </c>
      <c r="Q43" s="2"/>
      <c r="R43" s="6">
        <f t="shared" si="8"/>
        <v>0.37712867087148816</v>
      </c>
      <c r="S43" s="2"/>
      <c r="T43" s="2">
        <f>SUM(OSRRefT22_1x_0)</f>
        <v>41960.38</v>
      </c>
      <c r="U43" s="2"/>
      <c r="V43" s="6">
        <f t="shared" si="9"/>
        <v>15.423945127128766</v>
      </c>
      <c r="W43" s="2"/>
      <c r="X43" s="2">
        <f t="shared" si="10"/>
        <v>24077.460000000014</v>
      </c>
      <c r="Y43" s="2"/>
      <c r="Z43" s="6">
        <f t="shared" si="11"/>
        <v>0.57381415516256085</v>
      </c>
    </row>
    <row r="44" spans="1:26" s="69" customFormat="1" ht="15" hidden="1" customHeight="1" outlineLevel="2" x14ac:dyDescent="0.3">
      <c r="A44" s="26"/>
      <c r="B44" s="12" t="str">
        <f>CONCATENATE("          ","6002"," - ","STAFF SALARIES")</f>
        <v xml:space="preserve">          6002 - STAFF SALARIES</v>
      </c>
      <c r="C44" s="12"/>
      <c r="D44" s="8">
        <v>5038.46</v>
      </c>
      <c r="E44" s="3"/>
      <c r="F44" s="7">
        <f t="shared" si="4"/>
        <v>5.3677179671949231E-2</v>
      </c>
      <c r="G44" s="3"/>
      <c r="H44" s="8"/>
      <c r="I44" s="3"/>
      <c r="J44" s="7">
        <f t="shared" si="5"/>
        <v>0</v>
      </c>
      <c r="K44" s="3"/>
      <c r="L44" s="8">
        <f t="shared" si="6"/>
        <v>5038.46</v>
      </c>
      <c r="M44" s="3"/>
      <c r="N44" s="7">
        <f t="shared" si="7"/>
        <v>0</v>
      </c>
      <c r="O44" s="12"/>
      <c r="P44" s="8">
        <v>11085</v>
      </c>
      <c r="Q44" s="3"/>
      <c r="R44" s="7">
        <f t="shared" si="8"/>
        <v>6.330418009750842E-2</v>
      </c>
      <c r="S44" s="3"/>
      <c r="T44" s="8">
        <v>39828.42</v>
      </c>
      <c r="U44" s="3"/>
      <c r="V44" s="7">
        <f t="shared" si="9"/>
        <v>14.640271717754651</v>
      </c>
      <c r="W44" s="3"/>
      <c r="X44" s="8">
        <f t="shared" si="10"/>
        <v>-28743.42</v>
      </c>
      <c r="Y44" s="3"/>
      <c r="Z44" s="7">
        <f t="shared" si="11"/>
        <v>-0.72168115129849486</v>
      </c>
    </row>
    <row r="45" spans="1:26" s="69" customFormat="1" ht="15" hidden="1" customHeight="1" outlineLevel="2" x14ac:dyDescent="0.3">
      <c r="A45" s="26"/>
      <c r="B45" s="12" t="str">
        <f>CONCATENATE("          ","6004"," - ","STAFF HOURLY")</f>
        <v xml:space="preserve">          6004 - STAFF HOURLY</v>
      </c>
      <c r="C45" s="12"/>
      <c r="D45" s="8">
        <v>6601.4</v>
      </c>
      <c r="E45" s="3"/>
      <c r="F45" s="7">
        <f t="shared" si="4"/>
        <v>7.0327944230261952E-2</v>
      </c>
      <c r="G45" s="3"/>
      <c r="H45" s="8"/>
      <c r="I45" s="3"/>
      <c r="J45" s="7">
        <f t="shared" si="5"/>
        <v>0</v>
      </c>
      <c r="K45" s="3"/>
      <c r="L45" s="8">
        <f t="shared" si="6"/>
        <v>6601.4</v>
      </c>
      <c r="M45" s="3"/>
      <c r="N45" s="7">
        <f t="shared" si="7"/>
        <v>0</v>
      </c>
      <c r="O45" s="12"/>
      <c r="P45" s="8">
        <v>14161.33</v>
      </c>
      <c r="Q45" s="3"/>
      <c r="R45" s="7">
        <f t="shared" si="8"/>
        <v>8.0872474942737832E-2</v>
      </c>
      <c r="S45" s="3"/>
      <c r="T45" s="8"/>
      <c r="U45" s="3"/>
      <c r="V45" s="7">
        <f t="shared" si="9"/>
        <v>0</v>
      </c>
      <c r="W45" s="3"/>
      <c r="X45" s="8">
        <f t="shared" si="10"/>
        <v>14161.33</v>
      </c>
      <c r="Y45" s="3"/>
      <c r="Z45" s="7">
        <f t="shared" si="11"/>
        <v>0</v>
      </c>
    </row>
    <row r="46" spans="1:26" s="69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8">
        <v>4202.3</v>
      </c>
      <c r="E46" s="3"/>
      <c r="F46" s="7">
        <f t="shared" si="4"/>
        <v>4.4769158063263828E-2</v>
      </c>
      <c r="G46" s="3"/>
      <c r="H46" s="8"/>
      <c r="I46" s="3"/>
      <c r="J46" s="7">
        <f t="shared" si="5"/>
        <v>0</v>
      </c>
      <c r="K46" s="3"/>
      <c r="L46" s="8">
        <f t="shared" si="6"/>
        <v>4202.3</v>
      </c>
      <c r="M46" s="3"/>
      <c r="N46" s="7">
        <f t="shared" si="7"/>
        <v>0</v>
      </c>
      <c r="O46" s="12"/>
      <c r="P46" s="8">
        <v>18297.330000000002</v>
      </c>
      <c r="Q46" s="3"/>
      <c r="R46" s="7">
        <f t="shared" si="8"/>
        <v>0.10449232960068054</v>
      </c>
      <c r="S46" s="3"/>
      <c r="T46" s="8">
        <v>2131.96</v>
      </c>
      <c r="U46" s="3"/>
      <c r="V46" s="7">
        <f t="shared" si="9"/>
        <v>0.78367340937411545</v>
      </c>
      <c r="W46" s="3"/>
      <c r="X46" s="8">
        <f t="shared" si="10"/>
        <v>16165.370000000003</v>
      </c>
      <c r="Y46" s="3"/>
      <c r="Z46" s="7">
        <f t="shared" si="11"/>
        <v>7.5823983564419608</v>
      </c>
    </row>
    <row r="47" spans="1:26" s="69" customFormat="1" ht="15" hidden="1" customHeight="1" outlineLevel="2" x14ac:dyDescent="0.3">
      <c r="A47" s="26"/>
      <c r="B47" s="12" t="str">
        <f>CONCATENATE("          ","6006"," - ","TEMPORARY PART TIME")</f>
        <v xml:space="preserve">          6006 - TEMPORARY PART TIME</v>
      </c>
      <c r="C47" s="12"/>
      <c r="D47" s="8">
        <v>641</v>
      </c>
      <c r="E47" s="3"/>
      <c r="F47" s="7">
        <f t="shared" si="4"/>
        <v>6.8288866379249726E-3</v>
      </c>
      <c r="G47" s="3"/>
      <c r="H47" s="8"/>
      <c r="I47" s="3"/>
      <c r="J47" s="7">
        <f t="shared" si="5"/>
        <v>0</v>
      </c>
      <c r="K47" s="3"/>
      <c r="L47" s="8">
        <f t="shared" si="6"/>
        <v>641</v>
      </c>
      <c r="M47" s="3"/>
      <c r="N47" s="7">
        <f t="shared" si="7"/>
        <v>0</v>
      </c>
      <c r="O47" s="12"/>
      <c r="P47" s="8">
        <v>641</v>
      </c>
      <c r="Q47" s="3"/>
      <c r="R47" s="7">
        <f t="shared" si="8"/>
        <v>3.6606206082546592E-3</v>
      </c>
      <c r="S47" s="3"/>
      <c r="T47" s="8"/>
      <c r="U47" s="3"/>
      <c r="V47" s="7">
        <f t="shared" si="9"/>
        <v>0</v>
      </c>
      <c r="W47" s="3"/>
      <c r="X47" s="8">
        <f t="shared" si="10"/>
        <v>641</v>
      </c>
      <c r="Y47" s="3"/>
      <c r="Z47" s="7">
        <f t="shared" si="11"/>
        <v>0</v>
      </c>
    </row>
    <row r="48" spans="1:26" s="69" customFormat="1" ht="15" hidden="1" customHeight="1" outlineLevel="2" x14ac:dyDescent="0.3">
      <c r="A48" s="26"/>
      <c r="B48" s="12" t="str">
        <f>CONCATENATE("          ","6007"," - ","STUDENT HOURLY")</f>
        <v xml:space="preserve">          6007 - STUDENT HOURLY</v>
      </c>
      <c r="C48" s="12"/>
      <c r="D48" s="8">
        <v>9535.0400000000009</v>
      </c>
      <c r="E48" s="3"/>
      <c r="F48" s="7">
        <f t="shared" si="4"/>
        <v>0.1015814465648676</v>
      </c>
      <c r="G48" s="3"/>
      <c r="H48" s="8"/>
      <c r="I48" s="3"/>
      <c r="J48" s="7">
        <f t="shared" si="5"/>
        <v>0</v>
      </c>
      <c r="K48" s="3"/>
      <c r="L48" s="8">
        <f t="shared" si="6"/>
        <v>9535.0400000000009</v>
      </c>
      <c r="M48" s="3"/>
      <c r="N48" s="7">
        <f t="shared" si="7"/>
        <v>0</v>
      </c>
      <c r="O48" s="12"/>
      <c r="P48" s="8">
        <v>20708.38</v>
      </c>
      <c r="Q48" s="3"/>
      <c r="R48" s="7">
        <f t="shared" si="8"/>
        <v>0.11826134569667492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20708.38</v>
      </c>
      <c r="Y48" s="3"/>
      <c r="Z48" s="7">
        <f t="shared" si="11"/>
        <v>0</v>
      </c>
    </row>
    <row r="49" spans="1:26" s="69" customFormat="1" ht="15" hidden="1" customHeight="1" outlineLevel="2" x14ac:dyDescent="0.3">
      <c r="A49" s="26"/>
      <c r="B49" s="12" t="str">
        <f>CONCATENATE("          ","6008"," - ","STUDENT HOURLY-FICA EXEMPT")</f>
        <v xml:space="preserve">          6008 - STUDENT HOURLY-FICA EXEMPT</v>
      </c>
      <c r="C49" s="12"/>
      <c r="D49" s="8">
        <v>1144.8</v>
      </c>
      <c r="E49" s="3"/>
      <c r="F49" s="7">
        <f t="shared" si="4"/>
        <v>1.2196114544612337E-2</v>
      </c>
      <c r="G49" s="3"/>
      <c r="H49" s="8"/>
      <c r="I49" s="3"/>
      <c r="J49" s="7">
        <f t="shared" si="5"/>
        <v>0</v>
      </c>
      <c r="K49" s="3"/>
      <c r="L49" s="8">
        <f t="shared" si="6"/>
        <v>1144.8</v>
      </c>
      <c r="M49" s="3"/>
      <c r="N49" s="7">
        <f t="shared" si="7"/>
        <v>0</v>
      </c>
      <c r="O49" s="12"/>
      <c r="P49" s="8">
        <v>1144.8</v>
      </c>
      <c r="Q49" s="3"/>
      <c r="R49" s="7">
        <f t="shared" si="8"/>
        <v>6.5377199256317214E-3</v>
      </c>
      <c r="S49" s="3"/>
      <c r="T49" s="8"/>
      <c r="U49" s="3"/>
      <c r="V49" s="7">
        <f t="shared" si="9"/>
        <v>0</v>
      </c>
      <c r="W49" s="3"/>
      <c r="X49" s="8">
        <f t="shared" si="10"/>
        <v>1144.8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525.14</v>
      </c>
      <c r="E50" s="2"/>
      <c r="F50" s="6">
        <f t="shared" si="4"/>
        <v>5.5945733682370045E-3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525.14</v>
      </c>
      <c r="M50" s="2"/>
      <c r="N50" s="6">
        <f t="shared" si="7"/>
        <v>0</v>
      </c>
      <c r="O50" s="14"/>
      <c r="P50" s="2">
        <f>SUM(OSRRefP22_2x_0)</f>
        <v>616.36</v>
      </c>
      <c r="Q50" s="2"/>
      <c r="R50" s="6">
        <f t="shared" si="8"/>
        <v>3.5199065805052135E-3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616.36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8">
        <v>525.14</v>
      </c>
      <c r="E51" s="3"/>
      <c r="F51" s="7">
        <f t="shared" si="4"/>
        <v>5.5945733682370045E-3</v>
      </c>
      <c r="G51" s="3"/>
      <c r="H51" s="8"/>
      <c r="I51" s="3"/>
      <c r="J51" s="7">
        <f t="shared" si="5"/>
        <v>0</v>
      </c>
      <c r="K51" s="3"/>
      <c r="L51" s="8">
        <f t="shared" si="6"/>
        <v>525.14</v>
      </c>
      <c r="M51" s="3"/>
      <c r="N51" s="7">
        <f t="shared" si="7"/>
        <v>0</v>
      </c>
      <c r="O51" s="12"/>
      <c r="P51" s="8">
        <v>616.36</v>
      </c>
      <c r="Q51" s="3"/>
      <c r="R51" s="7">
        <f t="shared" si="8"/>
        <v>3.5199065805052135E-3</v>
      </c>
      <c r="S51" s="3"/>
      <c r="T51" s="8"/>
      <c r="U51" s="3"/>
      <c r="V51" s="7">
        <f t="shared" si="9"/>
        <v>0</v>
      </c>
      <c r="W51" s="3"/>
      <c r="X51" s="8">
        <f t="shared" si="10"/>
        <v>616.36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-0.21</v>
      </c>
      <c r="E52" s="2"/>
      <c r="F52" s="6">
        <f t="shared" si="4"/>
        <v>-2.2372327518942968E-6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-0.21</v>
      </c>
      <c r="M52" s="2"/>
      <c r="N52" s="6">
        <f t="shared" si="7"/>
        <v>0</v>
      </c>
      <c r="O52" s="14"/>
      <c r="P52" s="2">
        <f>SUM(OSRRefP22_3x_0)</f>
        <v>9.11</v>
      </c>
      <c r="Q52" s="2"/>
      <c r="R52" s="6">
        <f t="shared" si="8"/>
        <v>5.2025356850545936E-5</v>
      </c>
      <c r="S52" s="2"/>
      <c r="T52" s="2">
        <f>SUM(OSRRefT22_3x_0)</f>
        <v>3.31</v>
      </c>
      <c r="U52" s="2"/>
      <c r="V52" s="6">
        <f t="shared" si="9"/>
        <v>1.216701525839285E-3</v>
      </c>
      <c r="W52" s="2"/>
      <c r="X52" s="2">
        <f t="shared" si="10"/>
        <v>5.7999999999999989</v>
      </c>
      <c r="Y52" s="2"/>
      <c r="Z52" s="6">
        <f t="shared" si="11"/>
        <v>1.75226586102719</v>
      </c>
    </row>
    <row r="53" spans="1:26" s="69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8">
        <v>-0.21</v>
      </c>
      <c r="E53" s="3"/>
      <c r="F53" s="7">
        <f t="shared" si="4"/>
        <v>-2.2372327518942968E-6</v>
      </c>
      <c r="G53" s="3"/>
      <c r="H53" s="8"/>
      <c r="I53" s="3"/>
      <c r="J53" s="7">
        <f t="shared" si="5"/>
        <v>0</v>
      </c>
      <c r="K53" s="3"/>
      <c r="L53" s="8">
        <f t="shared" si="6"/>
        <v>-0.21</v>
      </c>
      <c r="M53" s="3"/>
      <c r="N53" s="7">
        <f t="shared" si="7"/>
        <v>0</v>
      </c>
      <c r="O53" s="12"/>
      <c r="P53" s="8">
        <v>9.11</v>
      </c>
      <c r="Q53" s="3"/>
      <c r="R53" s="7">
        <f t="shared" si="8"/>
        <v>5.2025356850545936E-5</v>
      </c>
      <c r="S53" s="3"/>
      <c r="T53" s="8">
        <v>3.31</v>
      </c>
      <c r="U53" s="3"/>
      <c r="V53" s="7">
        <f t="shared" si="9"/>
        <v>1.216701525839285E-3</v>
      </c>
      <c r="W53" s="3"/>
      <c r="X53" s="8">
        <f t="shared" si="10"/>
        <v>5.7999999999999989</v>
      </c>
      <c r="Y53" s="3"/>
      <c r="Z53" s="7">
        <f t="shared" si="11"/>
        <v>1.75226586102719</v>
      </c>
    </row>
    <row r="54" spans="1:26" s="68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3941.02</v>
      </c>
      <c r="E54" s="2"/>
      <c r="F54" s="6">
        <f t="shared" si="4"/>
        <v>4.1985614380335531E-2</v>
      </c>
      <c r="G54" s="2"/>
      <c r="H54" s="2">
        <f>SUM(OSRRefH22_4x_0)</f>
        <v>224.95</v>
      </c>
      <c r="I54" s="2"/>
      <c r="J54" s="6">
        <f t="shared" si="5"/>
        <v>1.678731343283582</v>
      </c>
      <c r="K54" s="2"/>
      <c r="L54" s="2">
        <f t="shared" si="6"/>
        <v>3716.07</v>
      </c>
      <c r="M54" s="2"/>
      <c r="N54" s="6">
        <f t="shared" si="7"/>
        <v>16.519537675038897</v>
      </c>
      <c r="O54" s="14"/>
      <c r="P54" s="2">
        <f>SUM(OSRRefP22_4x_0)</f>
        <v>8080.3</v>
      </c>
      <c r="Q54" s="2"/>
      <c r="R54" s="6">
        <f t="shared" si="8"/>
        <v>4.6144949611357448E-2</v>
      </c>
      <c r="S54" s="2"/>
      <c r="T54" s="2">
        <f>SUM(OSRRefT22_4x_0)</f>
        <v>1363.23</v>
      </c>
      <c r="U54" s="2"/>
      <c r="V54" s="6">
        <f t="shared" si="9"/>
        <v>0.50110091270993606</v>
      </c>
      <c r="W54" s="2"/>
      <c r="X54" s="2">
        <f t="shared" si="10"/>
        <v>6717.07</v>
      </c>
      <c r="Y54" s="2"/>
      <c r="Z54" s="6">
        <f t="shared" si="11"/>
        <v>4.9273196745963626</v>
      </c>
    </row>
    <row r="55" spans="1:26" s="69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8">
        <v>3941.02</v>
      </c>
      <c r="E55" s="3"/>
      <c r="F55" s="7">
        <f t="shared" si="4"/>
        <v>4.1985614380335531E-2</v>
      </c>
      <c r="G55" s="3"/>
      <c r="H55" s="8">
        <v>224.95</v>
      </c>
      <c r="I55" s="3"/>
      <c r="J55" s="7">
        <f t="shared" si="5"/>
        <v>1.678731343283582</v>
      </c>
      <c r="K55" s="3"/>
      <c r="L55" s="8">
        <f t="shared" si="6"/>
        <v>3716.07</v>
      </c>
      <c r="M55" s="3"/>
      <c r="N55" s="7">
        <f t="shared" si="7"/>
        <v>16.519537675038897</v>
      </c>
      <c r="O55" s="12"/>
      <c r="P55" s="8">
        <v>8080.3</v>
      </c>
      <c r="Q55" s="3"/>
      <c r="R55" s="7">
        <f t="shared" si="8"/>
        <v>4.6144949611357448E-2</v>
      </c>
      <c r="S55" s="3"/>
      <c r="T55" s="8">
        <v>1363.23</v>
      </c>
      <c r="U55" s="3"/>
      <c r="V55" s="7">
        <f t="shared" si="9"/>
        <v>0.50110091270993606</v>
      </c>
      <c r="W55" s="3"/>
      <c r="X55" s="8">
        <f t="shared" si="10"/>
        <v>6717.07</v>
      </c>
      <c r="Y55" s="3"/>
      <c r="Z55" s="7">
        <f t="shared" si="11"/>
        <v>4.9273196745963626</v>
      </c>
    </row>
    <row r="56" spans="1:26" s="68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6.7380656416873588E-2</v>
      </c>
      <c r="G56" s="2"/>
      <c r="H56" s="2">
        <f>SUM(OSRRefH22_5x_0)</f>
        <v>9152.09</v>
      </c>
      <c r="I56" s="2"/>
      <c r="J56" s="6">
        <f t="shared" si="5"/>
        <v>68.299179104477616</v>
      </c>
      <c r="K56" s="2"/>
      <c r="L56" s="2">
        <f t="shared" si="6"/>
        <v>-2827.34</v>
      </c>
      <c r="M56" s="2"/>
      <c r="N56" s="6">
        <f t="shared" si="7"/>
        <v>-0.30892834314347872</v>
      </c>
      <c r="O56" s="14"/>
      <c r="P56" s="2">
        <f>SUM(OSRRefP22_5x_0)</f>
        <v>53030.36</v>
      </c>
      <c r="Q56" s="2"/>
      <c r="R56" s="6">
        <f t="shared" si="8"/>
        <v>0.30284559856343768</v>
      </c>
      <c r="S56" s="2"/>
      <c r="T56" s="2">
        <f>SUM(OSRRefT22_5x_0)</f>
        <v>73398</v>
      </c>
      <c r="U56" s="2"/>
      <c r="V56" s="6">
        <f t="shared" si="9"/>
        <v>26.979896856057959</v>
      </c>
      <c r="W56" s="2"/>
      <c r="X56" s="2">
        <f t="shared" si="10"/>
        <v>-20367.64</v>
      </c>
      <c r="Y56" s="2"/>
      <c r="Z56" s="6">
        <f t="shared" si="11"/>
        <v>-0.27749584457342164</v>
      </c>
    </row>
    <row r="57" spans="1:26" s="69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8">
        <v>5080.51</v>
      </c>
      <c r="E57" s="3"/>
      <c r="F57" s="7">
        <f t="shared" si="4"/>
        <v>5.4125158896792827E-2</v>
      </c>
      <c r="G57" s="3"/>
      <c r="H57" s="8">
        <v>5080.51</v>
      </c>
      <c r="I57" s="3"/>
      <c r="J57" s="7">
        <f t="shared" si="5"/>
        <v>37.914253731343287</v>
      </c>
      <c r="K57" s="3"/>
      <c r="L57" s="8">
        <f t="shared" si="6"/>
        <v>0</v>
      </c>
      <c r="M57" s="3"/>
      <c r="N57" s="7">
        <f t="shared" si="7"/>
        <v>0</v>
      </c>
      <c r="O57" s="12"/>
      <c r="P57" s="8">
        <v>40644.080000000002</v>
      </c>
      <c r="Q57" s="3"/>
      <c r="R57" s="7">
        <f t="shared" si="8"/>
        <v>0.23211007309134327</v>
      </c>
      <c r="S57" s="3"/>
      <c r="T57" s="8">
        <v>40644.080000000002</v>
      </c>
      <c r="U57" s="3"/>
      <c r="V57" s="7">
        <f t="shared" si="9"/>
        <v>14.940094910070686</v>
      </c>
      <c r="W57" s="3"/>
      <c r="X57" s="8">
        <f t="shared" si="10"/>
        <v>0</v>
      </c>
      <c r="Y57" s="3"/>
      <c r="Z57" s="7">
        <f t="shared" si="11"/>
        <v>0</v>
      </c>
    </row>
    <row r="58" spans="1:26" s="69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1244.24</v>
      </c>
      <c r="E58" s="3"/>
      <c r="F58" s="7">
        <f t="shared" si="4"/>
        <v>1.3255497520080761E-2</v>
      </c>
      <c r="G58" s="3"/>
      <c r="H58" s="8">
        <v>4071.58</v>
      </c>
      <c r="I58" s="3"/>
      <c r="J58" s="7">
        <f t="shared" si="5"/>
        <v>30.384925373134326</v>
      </c>
      <c r="K58" s="3"/>
      <c r="L58" s="8">
        <f t="shared" si="6"/>
        <v>-2827.34</v>
      </c>
      <c r="M58" s="3"/>
      <c r="N58" s="7">
        <f t="shared" si="7"/>
        <v>-0.69440855883956598</v>
      </c>
      <c r="O58" s="12"/>
      <c r="P58" s="8">
        <v>12386.28</v>
      </c>
      <c r="Q58" s="3"/>
      <c r="R58" s="7">
        <f t="shared" si="8"/>
        <v>7.0735525472094413E-2</v>
      </c>
      <c r="S58" s="3"/>
      <c r="T58" s="8">
        <v>32753.919999999998</v>
      </c>
      <c r="U58" s="3"/>
      <c r="V58" s="7">
        <f t="shared" si="9"/>
        <v>12.039801945987273</v>
      </c>
      <c r="W58" s="3"/>
      <c r="X58" s="8">
        <f t="shared" si="10"/>
        <v>-20367.64</v>
      </c>
      <c r="Y58" s="3"/>
      <c r="Z58" s="7">
        <f t="shared" si="11"/>
        <v>-0.62183824104107233</v>
      </c>
    </row>
    <row r="59" spans="1:26" s="68" customFormat="1" ht="15" customHeight="1" outlineLevel="1" collapsed="1" x14ac:dyDescent="0.3">
      <c r="A59" s="25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SUM(OSRRefD22_6x_0)</f>
        <v>0</v>
      </c>
      <c r="E59" s="2"/>
      <c r="F59" s="6">
        <f t="shared" si="4"/>
        <v>0</v>
      </c>
      <c r="G59" s="2"/>
      <c r="H59" s="2">
        <f>SUM(OSRRefH22_6x_0)</f>
        <v>176.4</v>
      </c>
      <c r="I59" s="2"/>
      <c r="J59" s="6">
        <f t="shared" si="5"/>
        <v>1.3164179104477611</v>
      </c>
      <c r="K59" s="2"/>
      <c r="L59" s="2">
        <f t="shared" si="6"/>
        <v>-176.4</v>
      </c>
      <c r="M59" s="2"/>
      <c r="N59" s="6">
        <f t="shared" si="7"/>
        <v>-1</v>
      </c>
      <c r="O59" s="14"/>
      <c r="P59" s="2">
        <f>SUM(OSRRefP22_6x_0)</f>
        <v>30</v>
      </c>
      <c r="Q59" s="2"/>
      <c r="R59" s="6">
        <f t="shared" si="8"/>
        <v>1.7132389742221494E-4</v>
      </c>
      <c r="S59" s="2"/>
      <c r="T59" s="2">
        <f>SUM(OSRRefT22_6x_0)</f>
        <v>440.95</v>
      </c>
      <c r="U59" s="2"/>
      <c r="V59" s="6">
        <f t="shared" si="9"/>
        <v>0.16208596308726064</v>
      </c>
      <c r="W59" s="2"/>
      <c r="X59" s="2">
        <f t="shared" si="10"/>
        <v>-410.95</v>
      </c>
      <c r="Y59" s="2"/>
      <c r="Z59" s="6">
        <f t="shared" si="11"/>
        <v>-0.93196507540537477</v>
      </c>
    </row>
    <row r="60" spans="1:26" s="69" customFormat="1" ht="15" hidden="1" customHeight="1" outlineLevel="2" x14ac:dyDescent="0.3">
      <c r="A60" s="26"/>
      <c r="B60" s="12" t="str">
        <f>CONCATENATE("          ","6351"," - ","EQUIPMENT RENTAL")</f>
        <v xml:space="preserve">          6351 - EQUIPMENT RENTAL</v>
      </c>
      <c r="C60" s="12"/>
      <c r="D60" s="8"/>
      <c r="E60" s="3"/>
      <c r="F60" s="7">
        <f t="shared" si="4"/>
        <v>0</v>
      </c>
      <c r="G60" s="3"/>
      <c r="H60" s="8">
        <v>176.4</v>
      </c>
      <c r="I60" s="3"/>
      <c r="J60" s="7">
        <f t="shared" si="5"/>
        <v>1.3164179104477611</v>
      </c>
      <c r="K60" s="3"/>
      <c r="L60" s="8">
        <f t="shared" si="6"/>
        <v>-176.4</v>
      </c>
      <c r="M60" s="3"/>
      <c r="N60" s="7">
        <f t="shared" si="7"/>
        <v>-1</v>
      </c>
      <c r="O60" s="12"/>
      <c r="P60" s="8">
        <v>30</v>
      </c>
      <c r="Q60" s="3"/>
      <c r="R60" s="7">
        <f t="shared" si="8"/>
        <v>1.7132389742221494E-4</v>
      </c>
      <c r="S60" s="3"/>
      <c r="T60" s="8">
        <v>440.95</v>
      </c>
      <c r="U60" s="3"/>
      <c r="V60" s="7">
        <f t="shared" si="9"/>
        <v>0.16208596308726064</v>
      </c>
      <c r="W60" s="3"/>
      <c r="X60" s="8">
        <f t="shared" si="10"/>
        <v>-410.95</v>
      </c>
      <c r="Y60" s="3"/>
      <c r="Z60" s="7">
        <f t="shared" si="11"/>
        <v>-0.93196507540537477</v>
      </c>
    </row>
    <row r="61" spans="1:26" s="68" customFormat="1" ht="15" customHeight="1" outlineLevel="1" collapsed="1" x14ac:dyDescent="0.3">
      <c r="A61" s="25"/>
      <c r="B61" s="14" t="str">
        <f>CONCATENATE("     ","Freight out/Postage                               ")</f>
        <v xml:space="preserve">     Freight out/Postage                               </v>
      </c>
      <c r="C61" s="14"/>
      <c r="D61" s="2">
        <f>SUM(OSRRefD22_7x_0)</f>
        <v>0</v>
      </c>
      <c r="E61" s="2"/>
      <c r="F61" s="6">
        <f t="shared" si="4"/>
        <v>0</v>
      </c>
      <c r="G61" s="2"/>
      <c r="H61" s="2">
        <f>SUM(OSRRefH22_7x_0)</f>
        <v>90.46</v>
      </c>
      <c r="I61" s="2"/>
      <c r="J61" s="6">
        <f t="shared" si="5"/>
        <v>0.67507462686567155</v>
      </c>
      <c r="K61" s="2"/>
      <c r="L61" s="2">
        <f t="shared" si="6"/>
        <v>-90.46</v>
      </c>
      <c r="M61" s="2"/>
      <c r="N61" s="6">
        <f t="shared" si="7"/>
        <v>-1</v>
      </c>
      <c r="O61" s="14"/>
      <c r="P61" s="2">
        <f>SUM(OSRRefP22_7x_0)</f>
        <v>0</v>
      </c>
      <c r="Q61" s="2"/>
      <c r="R61" s="6">
        <f t="shared" si="8"/>
        <v>0</v>
      </c>
      <c r="S61" s="2"/>
      <c r="T61" s="2">
        <f>SUM(OSRRefT22_7x_0)</f>
        <v>207.89</v>
      </c>
      <c r="U61" s="2"/>
      <c r="V61" s="6">
        <f t="shared" si="9"/>
        <v>7.6416942660643181E-2</v>
      </c>
      <c r="W61" s="2"/>
      <c r="X61" s="2">
        <f t="shared" si="10"/>
        <v>-207.89</v>
      </c>
      <c r="Y61" s="2"/>
      <c r="Z61" s="6">
        <f t="shared" si="11"/>
        <v>-1</v>
      </c>
    </row>
    <row r="62" spans="1:26" s="69" customFormat="1" ht="15" hidden="1" customHeight="1" outlineLevel="2" x14ac:dyDescent="0.3">
      <c r="A62" s="26"/>
      <c r="B62" s="12" t="str">
        <f>CONCATENATE("          ","6305"," - ","FREIGHT OUT")</f>
        <v xml:space="preserve">          6305 - FREIGHT OUT</v>
      </c>
      <c r="C62" s="12"/>
      <c r="D62" s="8"/>
      <c r="E62" s="3"/>
      <c r="F62" s="7">
        <f t="shared" si="4"/>
        <v>0</v>
      </c>
      <c r="G62" s="3"/>
      <c r="H62" s="8">
        <v>90.46</v>
      </c>
      <c r="I62" s="3"/>
      <c r="J62" s="7">
        <f t="shared" si="5"/>
        <v>0.67507462686567155</v>
      </c>
      <c r="K62" s="3"/>
      <c r="L62" s="8">
        <f t="shared" si="6"/>
        <v>-90.46</v>
      </c>
      <c r="M62" s="3"/>
      <c r="N62" s="7">
        <f t="shared" si="7"/>
        <v>-1</v>
      </c>
      <c r="O62" s="12"/>
      <c r="P62" s="8"/>
      <c r="Q62" s="3"/>
      <c r="R62" s="7">
        <f t="shared" si="8"/>
        <v>0</v>
      </c>
      <c r="S62" s="3"/>
      <c r="T62" s="8">
        <v>207.89</v>
      </c>
      <c r="U62" s="3"/>
      <c r="V62" s="7">
        <f t="shared" si="9"/>
        <v>7.6416942660643181E-2</v>
      </c>
      <c r="W62" s="3"/>
      <c r="X62" s="8">
        <f t="shared" si="10"/>
        <v>-207.89</v>
      </c>
      <c r="Y62" s="3"/>
      <c r="Z62" s="7">
        <f t="shared" si="11"/>
        <v>-1</v>
      </c>
    </row>
    <row r="63" spans="1:26" s="68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411.65</v>
      </c>
      <c r="E63" s="2"/>
      <c r="F63" s="6">
        <f t="shared" si="4"/>
        <v>4.3855088681775583E-3</v>
      </c>
      <c r="G63" s="2"/>
      <c r="H63" s="2">
        <f>SUM(OSRRefH22_8x_0)</f>
        <v>0</v>
      </c>
      <c r="I63" s="2"/>
      <c r="J63" s="6">
        <f t="shared" si="5"/>
        <v>0</v>
      </c>
      <c r="K63" s="2"/>
      <c r="L63" s="2">
        <f t="shared" si="6"/>
        <v>411.65</v>
      </c>
      <c r="M63" s="2"/>
      <c r="N63" s="6">
        <f t="shared" si="7"/>
        <v>0</v>
      </c>
      <c r="O63" s="14"/>
      <c r="P63" s="2">
        <f>SUM(OSRRefP22_8x_0)</f>
        <v>3761.91</v>
      </c>
      <c r="Q63" s="2"/>
      <c r="R63" s="6">
        <f t="shared" si="8"/>
        <v>2.1483502765053487E-2</v>
      </c>
      <c r="S63" s="2"/>
      <c r="T63" s="2">
        <f>SUM(OSRRefT22_8x_0)</f>
        <v>2788.49</v>
      </c>
      <c r="U63" s="2"/>
      <c r="V63" s="6">
        <f t="shared" si="9"/>
        <v>1.0250030325642259</v>
      </c>
      <c r="W63" s="2"/>
      <c r="X63" s="2">
        <f t="shared" si="10"/>
        <v>973.42000000000007</v>
      </c>
      <c r="Y63" s="2"/>
      <c r="Z63" s="6">
        <f t="shared" si="11"/>
        <v>0.34908498864977106</v>
      </c>
    </row>
    <row r="64" spans="1:26" s="69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8">
        <v>411.65</v>
      </c>
      <c r="E64" s="3"/>
      <c r="F64" s="7">
        <f t="shared" ref="F64:F91" si="12">IF(D$12=0,0,D64/D$12)</f>
        <v>4.3855088681775583E-3</v>
      </c>
      <c r="G64" s="3"/>
      <c r="H64" s="8"/>
      <c r="I64" s="3"/>
      <c r="J64" s="7">
        <f t="shared" ref="J64:J91" si="13">IF(H$12=0,0,H64/H$12)</f>
        <v>0</v>
      </c>
      <c r="K64" s="3"/>
      <c r="L64" s="8">
        <f t="shared" ref="L64:L91" si="14">+D64-H64</f>
        <v>411.65</v>
      </c>
      <c r="M64" s="3"/>
      <c r="N64" s="7">
        <f t="shared" ref="N64:N91" si="15">IF(H64=0,0,L64/H64)</f>
        <v>0</v>
      </c>
      <c r="O64" s="12"/>
      <c r="P64" s="8">
        <v>3761.91</v>
      </c>
      <c r="Q64" s="3"/>
      <c r="R64" s="7">
        <f t="shared" ref="R64:R91" si="16">IF(P$12=0,0,P64/P$12)</f>
        <v>2.1483502765053487E-2</v>
      </c>
      <c r="S64" s="3"/>
      <c r="T64" s="8">
        <v>2788.49</v>
      </c>
      <c r="U64" s="3"/>
      <c r="V64" s="7">
        <f t="shared" ref="V64:V91" si="17">IF(T$12=0,0,T64/T$12)</f>
        <v>1.0250030325642259</v>
      </c>
      <c r="W64" s="3"/>
      <c r="X64" s="8">
        <f t="shared" ref="X64:X91" si="18">+P64-T64</f>
        <v>973.42000000000007</v>
      </c>
      <c r="Y64" s="3"/>
      <c r="Z64" s="7">
        <f t="shared" ref="Z64:Z91" si="19">IF(T64=0,0,X64/T64)</f>
        <v>0.34908498864977106</v>
      </c>
    </row>
    <row r="65" spans="1:26" s="68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3.5264114914501485E-3</v>
      </c>
      <c r="G65" s="2"/>
      <c r="H65" s="2">
        <f>SUM(OSRRefH22_9x_0)</f>
        <v>243.54</v>
      </c>
      <c r="I65" s="2"/>
      <c r="J65" s="6">
        <f t="shared" si="13"/>
        <v>1.8174626865671641</v>
      </c>
      <c r="K65" s="2"/>
      <c r="L65" s="2">
        <f t="shared" si="14"/>
        <v>87.47</v>
      </c>
      <c r="M65" s="2"/>
      <c r="N65" s="6">
        <f t="shared" si="15"/>
        <v>0.35916071281924944</v>
      </c>
      <c r="O65" s="14"/>
      <c r="P65" s="2">
        <f>SUM(OSRRefP22_9x_0)</f>
        <v>2648.08</v>
      </c>
      <c r="Q65" s="2"/>
      <c r="R65" s="6">
        <f t="shared" si="16"/>
        <v>1.5122646209527298E-2</v>
      </c>
      <c r="S65" s="2"/>
      <c r="T65" s="2">
        <f>SUM(OSRRefT22_9x_0)</f>
        <v>1948.32</v>
      </c>
      <c r="U65" s="2"/>
      <c r="V65" s="6">
        <f t="shared" si="17"/>
        <v>0.71617036762030084</v>
      </c>
      <c r="W65" s="2"/>
      <c r="X65" s="2">
        <f t="shared" si="18"/>
        <v>699.76</v>
      </c>
      <c r="Y65" s="2"/>
      <c r="Z65" s="6">
        <f t="shared" si="19"/>
        <v>0.35916071281924944</v>
      </c>
    </row>
    <row r="66" spans="1:26" s="69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8">
        <v>331.01</v>
      </c>
      <c r="E66" s="3"/>
      <c r="F66" s="7">
        <f t="shared" si="12"/>
        <v>3.5264114914501485E-3</v>
      </c>
      <c r="G66" s="3"/>
      <c r="H66" s="8">
        <v>243.54</v>
      </c>
      <c r="I66" s="3"/>
      <c r="J66" s="7">
        <f t="shared" si="13"/>
        <v>1.8174626865671641</v>
      </c>
      <c r="K66" s="3"/>
      <c r="L66" s="8">
        <f t="shared" si="14"/>
        <v>87.47</v>
      </c>
      <c r="M66" s="3"/>
      <c r="N66" s="7">
        <f t="shared" si="15"/>
        <v>0.35916071281924944</v>
      </c>
      <c r="O66" s="12"/>
      <c r="P66" s="8">
        <v>2648.08</v>
      </c>
      <c r="Q66" s="3"/>
      <c r="R66" s="7">
        <f t="shared" si="16"/>
        <v>1.5122646209527298E-2</v>
      </c>
      <c r="S66" s="3"/>
      <c r="T66" s="8">
        <v>1948.32</v>
      </c>
      <c r="U66" s="3"/>
      <c r="V66" s="7">
        <f t="shared" si="17"/>
        <v>0.71617036762030084</v>
      </c>
      <c r="W66" s="3"/>
      <c r="X66" s="8">
        <f t="shared" si="18"/>
        <v>699.76</v>
      </c>
      <c r="Y66" s="3"/>
      <c r="Z66" s="7">
        <f t="shared" si="19"/>
        <v>0.35916071281924944</v>
      </c>
    </row>
    <row r="67" spans="1:26" s="68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3905</v>
      </c>
      <c r="E67" s="2"/>
      <c r="F67" s="6">
        <f t="shared" si="12"/>
        <v>4.1601875695939185E-2</v>
      </c>
      <c r="G67" s="2"/>
      <c r="H67" s="2">
        <f>SUM(OSRRefH22_10x_0)</f>
        <v>4044</v>
      </c>
      <c r="I67" s="2"/>
      <c r="J67" s="6">
        <f t="shared" si="13"/>
        <v>30.17910447761194</v>
      </c>
      <c r="K67" s="2"/>
      <c r="L67" s="2">
        <f t="shared" si="14"/>
        <v>-139</v>
      </c>
      <c r="M67" s="2"/>
      <c r="N67" s="6">
        <f t="shared" si="15"/>
        <v>-3.4371909000989118E-2</v>
      </c>
      <c r="O67" s="14"/>
      <c r="P67" s="2">
        <f>SUM(OSRRefP22_10x_0)</f>
        <v>30964</v>
      </c>
      <c r="Q67" s="2"/>
      <c r="R67" s="6">
        <f t="shared" si="16"/>
        <v>0.17682910532604879</v>
      </c>
      <c r="S67" s="2"/>
      <c r="T67" s="2">
        <f>SUM(OSRRefT22_10x_0)</f>
        <v>32089.85</v>
      </c>
      <c r="U67" s="2"/>
      <c r="V67" s="6">
        <f t="shared" si="17"/>
        <v>11.795700742886337</v>
      </c>
      <c r="W67" s="2"/>
      <c r="X67" s="2">
        <f t="shared" si="18"/>
        <v>-1125.8499999999985</v>
      </c>
      <c r="Y67" s="2"/>
      <c r="Z67" s="6">
        <f t="shared" si="19"/>
        <v>-3.5084302357287385E-2</v>
      </c>
    </row>
    <row r="68" spans="1:26" s="69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8">
        <v>3905</v>
      </c>
      <c r="E68" s="3"/>
      <c r="F68" s="7">
        <f t="shared" si="12"/>
        <v>4.1601875695939185E-2</v>
      </c>
      <c r="G68" s="3"/>
      <c r="H68" s="8">
        <v>4044</v>
      </c>
      <c r="I68" s="3"/>
      <c r="J68" s="7">
        <f t="shared" si="13"/>
        <v>30.17910447761194</v>
      </c>
      <c r="K68" s="3"/>
      <c r="L68" s="8">
        <f t="shared" si="14"/>
        <v>-139</v>
      </c>
      <c r="M68" s="3"/>
      <c r="N68" s="7">
        <f t="shared" si="15"/>
        <v>-3.4371909000989118E-2</v>
      </c>
      <c r="O68" s="12"/>
      <c r="P68" s="8">
        <v>30964</v>
      </c>
      <c r="Q68" s="3"/>
      <c r="R68" s="7">
        <f t="shared" si="16"/>
        <v>0.17682910532604879</v>
      </c>
      <c r="S68" s="3"/>
      <c r="T68" s="8">
        <v>32089.85</v>
      </c>
      <c r="U68" s="3"/>
      <c r="V68" s="7">
        <f t="shared" si="17"/>
        <v>11.795700742886337</v>
      </c>
      <c r="W68" s="3"/>
      <c r="X68" s="8">
        <f t="shared" si="18"/>
        <v>-1125.8499999999985</v>
      </c>
      <c r="Y68" s="3"/>
      <c r="Z68" s="7">
        <f t="shared" si="19"/>
        <v>-3.5084302357287385E-2</v>
      </c>
    </row>
    <row r="69" spans="1:26" s="68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2739.51</v>
      </c>
      <c r="E69" s="2"/>
      <c r="F69" s="6">
        <f t="shared" si="12"/>
        <v>2.9185340457818787E-2</v>
      </c>
      <c r="G69" s="2"/>
      <c r="H69" s="2">
        <f>SUM(OSRRefH22_11x_0)</f>
        <v>108</v>
      </c>
      <c r="I69" s="2"/>
      <c r="J69" s="6">
        <f t="shared" si="13"/>
        <v>0.80597014925373134</v>
      </c>
      <c r="K69" s="2"/>
      <c r="L69" s="2">
        <f t="shared" si="14"/>
        <v>2631.51</v>
      </c>
      <c r="M69" s="2"/>
      <c r="N69" s="6">
        <f t="shared" si="15"/>
        <v>24.365833333333335</v>
      </c>
      <c r="O69" s="14"/>
      <c r="P69" s="2">
        <f>SUM(OSRRefP22_11x_0)</f>
        <v>6042.71</v>
      </c>
      <c r="Q69" s="2"/>
      <c r="R69" s="6">
        <f t="shared" si="16"/>
        <v>3.4508687606406414E-2</v>
      </c>
      <c r="S69" s="2"/>
      <c r="T69" s="2">
        <f>SUM(OSRRefT22_11x_0)</f>
        <v>2399.85</v>
      </c>
      <c r="U69" s="2"/>
      <c r="V69" s="6">
        <f t="shared" si="17"/>
        <v>0.88214536458773651</v>
      </c>
      <c r="W69" s="2"/>
      <c r="X69" s="2">
        <f t="shared" si="18"/>
        <v>3642.86</v>
      </c>
      <c r="Y69" s="2"/>
      <c r="Z69" s="6">
        <f t="shared" si="19"/>
        <v>1.5179532054086715</v>
      </c>
    </row>
    <row r="70" spans="1:26" s="69" customFormat="1" ht="15" hidden="1" customHeight="1" outlineLevel="2" x14ac:dyDescent="0.3">
      <c r="A70" s="26"/>
      <c r="B70" s="12" t="str">
        <f>CONCATENATE("          ","6373"," - ","MAINTENANCE CONTRACTS")</f>
        <v xml:space="preserve">          6373 - MAINTENANCE CONTRACTS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>
        <v>817</v>
      </c>
      <c r="Q70" s="3"/>
      <c r="R70" s="7">
        <f t="shared" si="16"/>
        <v>4.6657208064649867E-3</v>
      </c>
      <c r="S70" s="3"/>
      <c r="T70" s="8">
        <v>956.6</v>
      </c>
      <c r="U70" s="3"/>
      <c r="V70" s="7">
        <f t="shared" si="17"/>
        <v>0.35163041680297885</v>
      </c>
      <c r="W70" s="3"/>
      <c r="X70" s="8">
        <f t="shared" si="18"/>
        <v>-139.60000000000002</v>
      </c>
      <c r="Y70" s="3"/>
      <c r="Z70" s="7">
        <f t="shared" si="19"/>
        <v>-0.14593351453062933</v>
      </c>
    </row>
    <row r="71" spans="1:26" s="69" customFormat="1" ht="15" hidden="1" customHeight="1" outlineLevel="2" x14ac:dyDescent="0.3">
      <c r="A71" s="26"/>
      <c r="B71" s="12" t="str">
        <f>CONCATENATE("          ","6375"," - ","OUTSIDE REPAIRS &amp; MAINTENANCE")</f>
        <v xml:space="preserve">          6375 - OUTSIDE REPAIRS &amp; MAINTENANCE</v>
      </c>
      <c r="C71" s="12"/>
      <c r="D71" s="8">
        <v>2739.51</v>
      </c>
      <c r="E71" s="3"/>
      <c r="F71" s="7">
        <f t="shared" si="12"/>
        <v>2.9185340457818787E-2</v>
      </c>
      <c r="G71" s="3"/>
      <c r="H71" s="8">
        <v>108</v>
      </c>
      <c r="I71" s="3"/>
      <c r="J71" s="7">
        <f t="shared" si="13"/>
        <v>0.80597014925373134</v>
      </c>
      <c r="K71" s="3"/>
      <c r="L71" s="8">
        <f t="shared" si="14"/>
        <v>2631.51</v>
      </c>
      <c r="M71" s="3"/>
      <c r="N71" s="7">
        <f t="shared" si="15"/>
        <v>24.365833333333335</v>
      </c>
      <c r="O71" s="12"/>
      <c r="P71" s="8">
        <v>5225.71</v>
      </c>
      <c r="Q71" s="3"/>
      <c r="R71" s="7">
        <f t="shared" si="16"/>
        <v>2.9842966799941428E-2</v>
      </c>
      <c r="S71" s="3"/>
      <c r="T71" s="8">
        <v>1443.25</v>
      </c>
      <c r="U71" s="3"/>
      <c r="V71" s="7">
        <f t="shared" si="17"/>
        <v>0.53051494778475772</v>
      </c>
      <c r="W71" s="3"/>
      <c r="X71" s="8">
        <f t="shared" si="18"/>
        <v>3782.46</v>
      </c>
      <c r="Y71" s="3"/>
      <c r="Z71" s="7">
        <f t="shared" si="19"/>
        <v>2.6207933483457473</v>
      </c>
    </row>
    <row r="72" spans="1:26" s="68" customFormat="1" ht="15" customHeight="1" outlineLevel="1" collapsed="1" x14ac:dyDescent="0.3">
      <c r="A72" s="25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2">
        <f>SUM(OSRRefD22_12x_0)</f>
        <v>0</v>
      </c>
      <c r="E72" s="2"/>
      <c r="F72" s="6">
        <f t="shared" si="12"/>
        <v>0</v>
      </c>
      <c r="G72" s="2"/>
      <c r="H72" s="2">
        <f>SUM(OSRRefH22_12x_0)</f>
        <v>0</v>
      </c>
      <c r="I72" s="2"/>
      <c r="J72" s="6">
        <f t="shared" si="13"/>
        <v>0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SUM(OSRRefP22_12x_0)</f>
        <v>0</v>
      </c>
      <c r="Q72" s="2"/>
      <c r="R72" s="6">
        <f t="shared" si="16"/>
        <v>0</v>
      </c>
      <c r="S72" s="2"/>
      <c r="T72" s="2">
        <f>SUM(OSRRefT22_12x_0)</f>
        <v>185.7</v>
      </c>
      <c r="U72" s="2"/>
      <c r="V72" s="6">
        <f t="shared" si="17"/>
        <v>6.8260263851466829E-2</v>
      </c>
      <c r="W72" s="2"/>
      <c r="X72" s="2">
        <f t="shared" si="18"/>
        <v>-185.7</v>
      </c>
      <c r="Y72" s="2"/>
      <c r="Z72" s="6">
        <f t="shared" si="19"/>
        <v>-1</v>
      </c>
    </row>
    <row r="73" spans="1:26" s="69" customFormat="1" ht="15" hidden="1" customHeight="1" outlineLevel="2" x14ac:dyDescent="0.3">
      <c r="A73" s="26"/>
      <c r="B73" s="12" t="str">
        <f>CONCATENATE("          ","6254"," - ","ROYALTY &amp; COMMISSIONS")</f>
        <v xml:space="preserve">          6254 - ROYALTY &amp; COMMISSIONS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185.7</v>
      </c>
      <c r="U73" s="3"/>
      <c r="V73" s="7">
        <f t="shared" si="17"/>
        <v>6.8260263851466829E-2</v>
      </c>
      <c r="W73" s="3"/>
      <c r="X73" s="8">
        <f t="shared" si="18"/>
        <v>-185.7</v>
      </c>
      <c r="Y73" s="3"/>
      <c r="Z73" s="7">
        <f t="shared" si="19"/>
        <v>-1</v>
      </c>
    </row>
    <row r="74" spans="1:26" s="68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603.45000000000005</v>
      </c>
      <c r="E74" s="2"/>
      <c r="F74" s="6">
        <f t="shared" si="12"/>
        <v>6.4288481149076832E-3</v>
      </c>
      <c r="G74" s="2"/>
      <c r="H74" s="2">
        <f>SUM(OSRRefH22_13x_0)</f>
        <v>430.93</v>
      </c>
      <c r="I74" s="2"/>
      <c r="J74" s="6">
        <f t="shared" si="13"/>
        <v>3.2158955223880596</v>
      </c>
      <c r="K74" s="2"/>
      <c r="L74" s="2">
        <f t="shared" si="14"/>
        <v>172.52000000000004</v>
      </c>
      <c r="M74" s="2"/>
      <c r="N74" s="6">
        <f t="shared" si="15"/>
        <v>0.40034344325064403</v>
      </c>
      <c r="O74" s="14"/>
      <c r="P74" s="2">
        <f>SUM(OSRRefP22_13x_0)</f>
        <v>10672.400000000001</v>
      </c>
      <c r="Q74" s="2"/>
      <c r="R74" s="6">
        <f t="shared" si="16"/>
        <v>6.0947905428294896E-2</v>
      </c>
      <c r="S74" s="2"/>
      <c r="T74" s="2">
        <f>SUM(OSRRefT22_13x_0)</f>
        <v>1845.15</v>
      </c>
      <c r="U74" s="2"/>
      <c r="V74" s="6">
        <f t="shared" si="17"/>
        <v>0.67824677353545526</v>
      </c>
      <c r="W74" s="2"/>
      <c r="X74" s="2">
        <f t="shared" si="18"/>
        <v>8827.2500000000018</v>
      </c>
      <c r="Y74" s="2"/>
      <c r="Z74" s="6">
        <f t="shared" si="19"/>
        <v>4.7840283987751677</v>
      </c>
    </row>
    <row r="75" spans="1:26" s="69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320.25</v>
      </c>
      <c r="E75" s="3"/>
      <c r="F75" s="7">
        <f t="shared" si="12"/>
        <v>3.4117799466388027E-3</v>
      </c>
      <c r="G75" s="3"/>
      <c r="H75" s="8">
        <v>141.93</v>
      </c>
      <c r="I75" s="3"/>
      <c r="J75" s="7">
        <f t="shared" si="13"/>
        <v>1.059179104477612</v>
      </c>
      <c r="K75" s="3"/>
      <c r="L75" s="8">
        <f t="shared" si="14"/>
        <v>178.32</v>
      </c>
      <c r="M75" s="3"/>
      <c r="N75" s="7">
        <f t="shared" si="15"/>
        <v>1.2563939970407947</v>
      </c>
      <c r="O75" s="12"/>
      <c r="P75" s="8">
        <v>2393.6</v>
      </c>
      <c r="Q75" s="3"/>
      <c r="R75" s="7">
        <f t="shared" si="16"/>
        <v>1.3669362695660455E-2</v>
      </c>
      <c r="S75" s="3"/>
      <c r="T75" s="8">
        <v>1493.75</v>
      </c>
      <c r="U75" s="3"/>
      <c r="V75" s="7">
        <f t="shared" si="17"/>
        <v>0.54907791668351424</v>
      </c>
      <c r="W75" s="3"/>
      <c r="X75" s="8">
        <f t="shared" si="18"/>
        <v>899.84999999999991</v>
      </c>
      <c r="Y75" s="3"/>
      <c r="Z75" s="7">
        <f t="shared" si="19"/>
        <v>0.60241004184100411</v>
      </c>
    </row>
    <row r="76" spans="1:26" s="69" customFormat="1" ht="15" hidden="1" customHeight="1" outlineLevel="2" x14ac:dyDescent="0.3">
      <c r="A76" s="26"/>
      <c r="B76" s="12" t="str">
        <f>CONCATENATE("          ","6284"," - ","TRASH REMOVAL EXPENSE")</f>
        <v xml:space="preserve">          6284 - TRASH REMOVAL EXPENSE</v>
      </c>
      <c r="C76" s="12"/>
      <c r="D76" s="8"/>
      <c r="E76" s="3"/>
      <c r="F76" s="7">
        <f t="shared" si="12"/>
        <v>0</v>
      </c>
      <c r="G76" s="3"/>
      <c r="H76" s="8">
        <v>289</v>
      </c>
      <c r="I76" s="3"/>
      <c r="J76" s="7">
        <f t="shared" si="13"/>
        <v>2.1567164179104479</v>
      </c>
      <c r="K76" s="3"/>
      <c r="L76" s="8">
        <f t="shared" si="14"/>
        <v>-289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1156</v>
      </c>
      <c r="U76" s="3"/>
      <c r="V76" s="7">
        <f t="shared" si="17"/>
        <v>0.42492657518737564</v>
      </c>
      <c r="W76" s="3"/>
      <c r="X76" s="8">
        <f t="shared" si="18"/>
        <v>-1156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>
        <v>226.12</v>
      </c>
      <c r="E77" s="3"/>
      <c r="F77" s="7">
        <f t="shared" si="12"/>
        <v>2.4089669993254208E-3</v>
      </c>
      <c r="G77" s="3"/>
      <c r="H77" s="8"/>
      <c r="I77" s="3"/>
      <c r="J77" s="7">
        <f t="shared" si="13"/>
        <v>0</v>
      </c>
      <c r="K77" s="3"/>
      <c r="L77" s="8">
        <f t="shared" si="14"/>
        <v>226.12</v>
      </c>
      <c r="M77" s="3"/>
      <c r="N77" s="7">
        <f t="shared" si="15"/>
        <v>0</v>
      </c>
      <c r="O77" s="12"/>
      <c r="P77" s="8">
        <v>7681.76</v>
      </c>
      <c r="Q77" s="3"/>
      <c r="R77" s="7">
        <f t="shared" si="16"/>
        <v>4.386896874206913E-2</v>
      </c>
      <c r="S77" s="3"/>
      <c r="T77" s="8">
        <v>-804.6</v>
      </c>
      <c r="U77" s="3"/>
      <c r="V77" s="7">
        <f t="shared" si="17"/>
        <v>-0.29575771833543468</v>
      </c>
      <c r="W77" s="3"/>
      <c r="X77" s="8">
        <f t="shared" si="18"/>
        <v>8486.36</v>
      </c>
      <c r="Y77" s="3"/>
      <c r="Z77" s="7">
        <f t="shared" si="19"/>
        <v>-10.547303007705693</v>
      </c>
    </row>
    <row r="78" spans="1:26" s="69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8">
        <v>57.08</v>
      </c>
      <c r="E78" s="3"/>
      <c r="F78" s="7">
        <f t="shared" si="12"/>
        <v>6.0810116894345926E-4</v>
      </c>
      <c r="G78" s="3"/>
      <c r="H78" s="8"/>
      <c r="I78" s="3"/>
      <c r="J78" s="7">
        <f t="shared" si="13"/>
        <v>0</v>
      </c>
      <c r="K78" s="3"/>
      <c r="L78" s="8">
        <f t="shared" si="14"/>
        <v>57.08</v>
      </c>
      <c r="M78" s="3"/>
      <c r="N78" s="7">
        <f t="shared" si="15"/>
        <v>0</v>
      </c>
      <c r="O78" s="12"/>
      <c r="P78" s="8">
        <v>597.04</v>
      </c>
      <c r="Q78" s="3"/>
      <c r="R78" s="7">
        <f t="shared" si="16"/>
        <v>3.4095739905653068E-3</v>
      </c>
      <c r="S78" s="3"/>
      <c r="T78" s="8"/>
      <c r="U78" s="3"/>
      <c r="V78" s="7">
        <f t="shared" si="17"/>
        <v>0</v>
      </c>
      <c r="W78" s="3"/>
      <c r="X78" s="8">
        <f t="shared" si="18"/>
        <v>597.04</v>
      </c>
      <c r="Y78" s="3"/>
      <c r="Z78" s="7">
        <f t="shared" si="19"/>
        <v>0</v>
      </c>
    </row>
    <row r="79" spans="1:26" s="68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SUM(OSRRefD22_14x_0)</f>
        <v>883.59</v>
      </c>
      <c r="E79" s="2"/>
      <c r="F79" s="6">
        <f t="shared" si="12"/>
        <v>9.4133166059346754E-3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883.59</v>
      </c>
      <c r="M79" s="2"/>
      <c r="N79" s="6">
        <f t="shared" si="15"/>
        <v>0</v>
      </c>
      <c r="O79" s="14"/>
      <c r="P79" s="2">
        <f>SUM(OSRRefP22_14x_0)</f>
        <v>3970.36</v>
      </c>
      <c r="Q79" s="2"/>
      <c r="R79" s="6">
        <f t="shared" si="16"/>
        <v>2.2673918312308843E-2</v>
      </c>
      <c r="S79" s="2"/>
      <c r="T79" s="2">
        <f>SUM(OSRRefT22_14x_0)</f>
        <v>1094.0899999999999</v>
      </c>
      <c r="U79" s="2"/>
      <c r="V79" s="6">
        <f t="shared" si="17"/>
        <v>0.40216947806812786</v>
      </c>
      <c r="W79" s="2"/>
      <c r="X79" s="2">
        <f t="shared" si="18"/>
        <v>2876.2700000000004</v>
      </c>
      <c r="Y79" s="2"/>
      <c r="Z79" s="6">
        <f t="shared" si="19"/>
        <v>2.6289153543127171</v>
      </c>
    </row>
    <row r="80" spans="1:26" s="69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1194.8900000000001</v>
      </c>
      <c r="Q80" s="3"/>
      <c r="R80" s="7">
        <f t="shared" si="16"/>
        <v>6.8237737263610139E-3</v>
      </c>
      <c r="S80" s="3"/>
      <c r="T80" s="8">
        <v>316.67</v>
      </c>
      <c r="U80" s="3"/>
      <c r="V80" s="7">
        <f t="shared" si="17"/>
        <v>0.11640268041919227</v>
      </c>
      <c r="W80" s="3"/>
      <c r="X80" s="8">
        <f t="shared" si="18"/>
        <v>878.22</v>
      </c>
      <c r="Y80" s="3"/>
      <c r="Z80" s="7">
        <f t="shared" si="19"/>
        <v>2.7732971231881769</v>
      </c>
    </row>
    <row r="81" spans="1:26" s="69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8"/>
      <c r="E81" s="3"/>
      <c r="F81" s="7">
        <f t="shared" si="12"/>
        <v>0</v>
      </c>
      <c r="G81" s="3"/>
      <c r="H81" s="8"/>
      <c r="I81" s="3"/>
      <c r="J81" s="7">
        <f t="shared" si="13"/>
        <v>0</v>
      </c>
      <c r="K81" s="3"/>
      <c r="L81" s="8">
        <f t="shared" si="14"/>
        <v>0</v>
      </c>
      <c r="M81" s="3"/>
      <c r="N81" s="7">
        <f t="shared" si="15"/>
        <v>0</v>
      </c>
      <c r="O81" s="12"/>
      <c r="P81" s="8"/>
      <c r="Q81" s="3"/>
      <c r="R81" s="7">
        <f t="shared" si="16"/>
        <v>0</v>
      </c>
      <c r="S81" s="3"/>
      <c r="T81" s="8">
        <v>207.27</v>
      </c>
      <c r="U81" s="3"/>
      <c r="V81" s="7">
        <f t="shared" si="17"/>
        <v>7.6189040864262425E-2</v>
      </c>
      <c r="W81" s="3"/>
      <c r="X81" s="8">
        <f t="shared" si="18"/>
        <v>-207.27</v>
      </c>
      <c r="Y81" s="3"/>
      <c r="Z81" s="7">
        <f t="shared" si="19"/>
        <v>-1</v>
      </c>
    </row>
    <row r="82" spans="1:26" s="69" customFormat="1" ht="15" hidden="1" customHeight="1" outlineLevel="2" x14ac:dyDescent="0.3">
      <c r="A82" s="26"/>
      <c r="B82" s="12" t="str">
        <f>CONCATENATE("          ","6237"," - ","JANITORIAL SUPPLIES")</f>
        <v xml:space="preserve">          6237 - JANITORIAL SUPPLIES</v>
      </c>
      <c r="C82" s="12"/>
      <c r="D82" s="8">
        <v>31.68</v>
      </c>
      <c r="E82" s="3"/>
      <c r="F82" s="7">
        <f t="shared" si="12"/>
        <v>3.3750254085719675E-4</v>
      </c>
      <c r="G82" s="3"/>
      <c r="H82" s="8"/>
      <c r="I82" s="3"/>
      <c r="J82" s="7">
        <f t="shared" si="13"/>
        <v>0</v>
      </c>
      <c r="K82" s="3"/>
      <c r="L82" s="8">
        <f t="shared" si="14"/>
        <v>31.68</v>
      </c>
      <c r="M82" s="3"/>
      <c r="N82" s="7">
        <f t="shared" si="15"/>
        <v>0</v>
      </c>
      <c r="O82" s="12"/>
      <c r="P82" s="8">
        <v>686.91</v>
      </c>
      <c r="Q82" s="3"/>
      <c r="R82" s="7">
        <f t="shared" si="16"/>
        <v>3.9228032792764551E-3</v>
      </c>
      <c r="S82" s="3"/>
      <c r="T82" s="8">
        <v>317.57</v>
      </c>
      <c r="U82" s="3"/>
      <c r="V82" s="7">
        <f t="shared" si="17"/>
        <v>0.11673350560748692</v>
      </c>
      <c r="W82" s="3"/>
      <c r="X82" s="8">
        <f t="shared" si="18"/>
        <v>369.34</v>
      </c>
      <c r="Y82" s="3"/>
      <c r="Z82" s="7">
        <f t="shared" si="19"/>
        <v>1.1630191768743898</v>
      </c>
    </row>
    <row r="83" spans="1:26" s="69" customFormat="1" ht="15" hidden="1" customHeight="1" outlineLevel="2" x14ac:dyDescent="0.3">
      <c r="A83" s="26"/>
      <c r="B83" s="12" t="str">
        <f>CONCATENATE("          ","6241"," - ","OFFICE EXPENSE")</f>
        <v xml:space="preserve">          6241 - OFFICE EXPENSE</v>
      </c>
      <c r="C83" s="12"/>
      <c r="D83" s="8">
        <v>108.15</v>
      </c>
      <c r="E83" s="3"/>
      <c r="F83" s="7">
        <f t="shared" si="12"/>
        <v>1.1521748672255628E-3</v>
      </c>
      <c r="G83" s="3"/>
      <c r="H83" s="8"/>
      <c r="I83" s="3"/>
      <c r="J83" s="7">
        <f t="shared" si="13"/>
        <v>0</v>
      </c>
      <c r="K83" s="3"/>
      <c r="L83" s="8">
        <f t="shared" si="14"/>
        <v>108.15</v>
      </c>
      <c r="M83" s="3"/>
      <c r="N83" s="7">
        <f t="shared" si="15"/>
        <v>0</v>
      </c>
      <c r="O83" s="12"/>
      <c r="P83" s="8">
        <v>458.93</v>
      </c>
      <c r="Q83" s="3"/>
      <c r="R83" s="7">
        <f t="shared" si="16"/>
        <v>2.6208558747992366E-3</v>
      </c>
      <c r="S83" s="3"/>
      <c r="T83" s="8">
        <v>131.30000000000001</v>
      </c>
      <c r="U83" s="3"/>
      <c r="V83" s="7">
        <f t="shared" si="17"/>
        <v>4.826371913676681E-2</v>
      </c>
      <c r="W83" s="3"/>
      <c r="X83" s="8">
        <f t="shared" si="18"/>
        <v>327.63</v>
      </c>
      <c r="Y83" s="3"/>
      <c r="Z83" s="7">
        <f t="shared" si="19"/>
        <v>2.4952779893373949</v>
      </c>
    </row>
    <row r="84" spans="1:26" s="69" customFormat="1" ht="15" hidden="1" customHeight="1" outlineLevel="2" x14ac:dyDescent="0.3">
      <c r="A84" s="26"/>
      <c r="B84" s="12" t="str">
        <f>CONCATENATE("          ","6243"," - ","PAPER SUPPLIES")</f>
        <v xml:space="preserve">          6243 - PAPER SUPPLIES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44.38</v>
      </c>
      <c r="Q84" s="3"/>
      <c r="R84" s="7">
        <f t="shared" si="16"/>
        <v>2.5344515225326331E-4</v>
      </c>
      <c r="S84" s="3"/>
      <c r="T84" s="8"/>
      <c r="U84" s="3"/>
      <c r="V84" s="7">
        <f t="shared" si="17"/>
        <v>0</v>
      </c>
      <c r="W84" s="3"/>
      <c r="X84" s="8">
        <f t="shared" si="18"/>
        <v>44.38</v>
      </c>
      <c r="Y84" s="3"/>
      <c r="Z84" s="7">
        <f t="shared" si="19"/>
        <v>0</v>
      </c>
    </row>
    <row r="85" spans="1:26" s="69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8">
        <v>743.76</v>
      </c>
      <c r="E85" s="3"/>
      <c r="F85" s="7">
        <f t="shared" si="12"/>
        <v>7.9236391978519151E-3</v>
      </c>
      <c r="G85" s="3"/>
      <c r="H85" s="8"/>
      <c r="I85" s="3"/>
      <c r="J85" s="7">
        <f t="shared" si="13"/>
        <v>0</v>
      </c>
      <c r="K85" s="3"/>
      <c r="L85" s="8">
        <f t="shared" si="14"/>
        <v>743.76</v>
      </c>
      <c r="M85" s="3"/>
      <c r="N85" s="7">
        <f t="shared" si="15"/>
        <v>0</v>
      </c>
      <c r="O85" s="12"/>
      <c r="P85" s="8">
        <v>1585.25</v>
      </c>
      <c r="Q85" s="3"/>
      <c r="R85" s="7">
        <f t="shared" si="16"/>
        <v>9.053040279618875E-3</v>
      </c>
      <c r="S85" s="3"/>
      <c r="T85" s="8">
        <v>121.28</v>
      </c>
      <c r="U85" s="3"/>
      <c r="V85" s="7">
        <f t="shared" si="17"/>
        <v>4.4580532040419479E-2</v>
      </c>
      <c r="W85" s="3"/>
      <c r="X85" s="8">
        <f t="shared" si="18"/>
        <v>1463.97</v>
      </c>
      <c r="Y85" s="3"/>
      <c r="Z85" s="7">
        <f t="shared" si="19"/>
        <v>12.070992744063325</v>
      </c>
    </row>
    <row r="86" spans="1:26" s="68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178.5</v>
      </c>
      <c r="E86" s="2"/>
      <c r="F86" s="6">
        <f t="shared" si="12"/>
        <v>1.9016478391101523E-3</v>
      </c>
      <c r="G86" s="2"/>
      <c r="H86" s="2">
        <f>SUM(OSRRefH22_15x_0)</f>
        <v>25.65</v>
      </c>
      <c r="I86" s="2"/>
      <c r="J86" s="6">
        <f t="shared" si="13"/>
        <v>0.19141791044776119</v>
      </c>
      <c r="K86" s="2"/>
      <c r="L86" s="2">
        <f t="shared" si="14"/>
        <v>152.85</v>
      </c>
      <c r="M86" s="2"/>
      <c r="N86" s="6">
        <f t="shared" si="15"/>
        <v>5.9590643274853798</v>
      </c>
      <c r="O86" s="14"/>
      <c r="P86" s="2">
        <f>SUM(OSRRefP22_15x_0)</f>
        <v>989.5</v>
      </c>
      <c r="Q86" s="2"/>
      <c r="R86" s="6">
        <f t="shared" si="16"/>
        <v>5.6508332166427229E-3</v>
      </c>
      <c r="S86" s="2"/>
      <c r="T86" s="2">
        <f>SUM(OSRRefT22_15x_0)</f>
        <v>3011.44</v>
      </c>
      <c r="U86" s="2"/>
      <c r="V86" s="6">
        <f t="shared" si="17"/>
        <v>1.1069557833756667</v>
      </c>
      <c r="W86" s="2"/>
      <c r="X86" s="2">
        <f t="shared" si="18"/>
        <v>-2021.94</v>
      </c>
      <c r="Y86" s="2"/>
      <c r="Z86" s="6">
        <f t="shared" si="19"/>
        <v>-0.6714196530563451</v>
      </c>
    </row>
    <row r="87" spans="1:26" s="69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178.5</v>
      </c>
      <c r="E87" s="3"/>
      <c r="F87" s="7">
        <f t="shared" si="12"/>
        <v>1.9016478391101523E-3</v>
      </c>
      <c r="G87" s="3"/>
      <c r="H87" s="8">
        <v>25.65</v>
      </c>
      <c r="I87" s="3"/>
      <c r="J87" s="7">
        <f t="shared" si="13"/>
        <v>0.19141791044776119</v>
      </c>
      <c r="K87" s="3"/>
      <c r="L87" s="8">
        <f t="shared" si="14"/>
        <v>152.85</v>
      </c>
      <c r="M87" s="3"/>
      <c r="N87" s="7">
        <f t="shared" si="15"/>
        <v>5.9590643274853798</v>
      </c>
      <c r="O87" s="12"/>
      <c r="P87" s="8">
        <v>989.5</v>
      </c>
      <c r="Q87" s="3"/>
      <c r="R87" s="7">
        <f t="shared" si="16"/>
        <v>5.6508332166427229E-3</v>
      </c>
      <c r="S87" s="3"/>
      <c r="T87" s="8">
        <v>3011.44</v>
      </c>
      <c r="U87" s="3"/>
      <c r="V87" s="7">
        <f t="shared" si="17"/>
        <v>1.1069557833756667</v>
      </c>
      <c r="W87" s="3"/>
      <c r="X87" s="8">
        <f t="shared" si="18"/>
        <v>-2021.94</v>
      </c>
      <c r="Y87" s="3"/>
      <c r="Z87" s="7">
        <f t="shared" si="19"/>
        <v>-0.6714196530563451</v>
      </c>
    </row>
    <row r="88" spans="1:26" s="68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320</v>
      </c>
      <c r="E88" s="2"/>
      <c r="F88" s="6">
        <f t="shared" si="12"/>
        <v>3.4091165743151187E-3</v>
      </c>
      <c r="G88" s="2"/>
      <c r="H88" s="2">
        <f>SUM(OSRRefH22_16x_0)</f>
        <v>0</v>
      </c>
      <c r="I88" s="2"/>
      <c r="J88" s="6">
        <f t="shared" si="13"/>
        <v>0</v>
      </c>
      <c r="K88" s="2"/>
      <c r="L88" s="2">
        <f t="shared" si="14"/>
        <v>320</v>
      </c>
      <c r="M88" s="2"/>
      <c r="N88" s="6">
        <f t="shared" si="15"/>
        <v>0</v>
      </c>
      <c r="O88" s="14"/>
      <c r="P88" s="2">
        <f>SUM(OSRRefP22_16x_0)</f>
        <v>320</v>
      </c>
      <c r="Q88" s="2"/>
      <c r="R88" s="6">
        <f t="shared" si="16"/>
        <v>1.8274549058369593E-3</v>
      </c>
      <c r="S88" s="2"/>
      <c r="T88" s="2">
        <f>SUM(OSRRefT22_16x_0)</f>
        <v>0</v>
      </c>
      <c r="U88" s="2"/>
      <c r="V88" s="6">
        <f t="shared" si="17"/>
        <v>0</v>
      </c>
      <c r="W88" s="2"/>
      <c r="X88" s="2">
        <f t="shared" si="18"/>
        <v>320</v>
      </c>
      <c r="Y88" s="2"/>
      <c r="Z88" s="6">
        <f t="shared" si="19"/>
        <v>0</v>
      </c>
    </row>
    <row r="89" spans="1:26" s="69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>
        <v>320</v>
      </c>
      <c r="E89" s="3"/>
      <c r="F89" s="7">
        <f t="shared" si="12"/>
        <v>3.4091165743151187E-3</v>
      </c>
      <c r="G89" s="3"/>
      <c r="H89" s="8"/>
      <c r="I89" s="3"/>
      <c r="J89" s="7">
        <f t="shared" si="13"/>
        <v>0</v>
      </c>
      <c r="K89" s="3"/>
      <c r="L89" s="8">
        <f t="shared" si="14"/>
        <v>320</v>
      </c>
      <c r="M89" s="3"/>
      <c r="N89" s="7">
        <f t="shared" si="15"/>
        <v>0</v>
      </c>
      <c r="O89" s="12"/>
      <c r="P89" s="8">
        <v>320</v>
      </c>
      <c r="Q89" s="3"/>
      <c r="R89" s="7">
        <f t="shared" si="16"/>
        <v>1.8274549058369593E-3</v>
      </c>
      <c r="S89" s="3"/>
      <c r="T89" s="8"/>
      <c r="U89" s="3"/>
      <c r="V89" s="7">
        <f t="shared" si="17"/>
        <v>0</v>
      </c>
      <c r="W89" s="3"/>
      <c r="X89" s="8">
        <f t="shared" si="18"/>
        <v>320</v>
      </c>
      <c r="Y89" s="3"/>
      <c r="Z89" s="7">
        <f t="shared" si="19"/>
        <v>0</v>
      </c>
    </row>
    <row r="90" spans="1:26" s="68" customFormat="1" ht="15" customHeight="1" outlineLevel="1" collapsed="1" x14ac:dyDescent="0.3">
      <c r="A90" s="25"/>
      <c r="B90" s="14" t="str">
        <f>CONCATENATE("     ","Utilities                                         ")</f>
        <v xml:space="preserve">     Utilities                                         </v>
      </c>
      <c r="C90" s="14"/>
      <c r="D90" s="2">
        <f>SUM(OSRRefD22_17x_0)</f>
        <v>100</v>
      </c>
      <c r="E90" s="2"/>
      <c r="F90" s="6">
        <f t="shared" si="12"/>
        <v>1.0653489294734746E-3</v>
      </c>
      <c r="G90" s="2"/>
      <c r="H90" s="2">
        <f>SUM(OSRRefH22_17x_0)</f>
        <v>1136</v>
      </c>
      <c r="I90" s="2"/>
      <c r="J90" s="6">
        <f t="shared" si="13"/>
        <v>8.4776119402985071</v>
      </c>
      <c r="K90" s="2"/>
      <c r="L90" s="2">
        <f t="shared" si="14"/>
        <v>-1036</v>
      </c>
      <c r="M90" s="2"/>
      <c r="N90" s="6">
        <f t="shared" si="15"/>
        <v>-0.9119718309859155</v>
      </c>
      <c r="O90" s="14"/>
      <c r="P90" s="2">
        <f>SUM(OSRRefP22_17x_0)</f>
        <v>800</v>
      </c>
      <c r="Q90" s="2"/>
      <c r="R90" s="6">
        <f t="shared" si="16"/>
        <v>4.5686372645923987E-3</v>
      </c>
      <c r="S90" s="2"/>
      <c r="T90" s="2">
        <f>SUM(OSRRefT22_17x_0)</f>
        <v>5830</v>
      </c>
      <c r="U90" s="2"/>
      <c r="V90" s="6">
        <f t="shared" si="17"/>
        <v>2.1430120530643602</v>
      </c>
      <c r="W90" s="2"/>
      <c r="X90" s="2">
        <f t="shared" si="18"/>
        <v>-5030</v>
      </c>
      <c r="Y90" s="2"/>
      <c r="Z90" s="6">
        <f t="shared" si="19"/>
        <v>-0.86277873070325906</v>
      </c>
    </row>
    <row r="91" spans="1:26" s="69" customFormat="1" ht="15" hidden="1" customHeight="1" outlineLevel="2" x14ac:dyDescent="0.3">
      <c r="A91" s="26"/>
      <c r="B91" s="12" t="str">
        <f>CONCATENATE("          ","6274"," - ","UTILITIES")</f>
        <v xml:space="preserve">          6274 - UTILITIES</v>
      </c>
      <c r="C91" s="12"/>
      <c r="D91" s="8">
        <v>100</v>
      </c>
      <c r="E91" s="3"/>
      <c r="F91" s="7">
        <f t="shared" si="12"/>
        <v>1.0653489294734746E-3</v>
      </c>
      <c r="G91" s="3"/>
      <c r="H91" s="8">
        <v>1136</v>
      </c>
      <c r="I91" s="3"/>
      <c r="J91" s="7">
        <f t="shared" si="13"/>
        <v>8.4776119402985071</v>
      </c>
      <c r="K91" s="3"/>
      <c r="L91" s="8">
        <f t="shared" si="14"/>
        <v>-1036</v>
      </c>
      <c r="M91" s="3"/>
      <c r="N91" s="7">
        <f t="shared" si="15"/>
        <v>-0.9119718309859155</v>
      </c>
      <c r="O91" s="12"/>
      <c r="P91" s="8">
        <v>800</v>
      </c>
      <c r="Q91" s="3"/>
      <c r="R91" s="7">
        <f t="shared" si="16"/>
        <v>4.5686372645923987E-3</v>
      </c>
      <c r="S91" s="3"/>
      <c r="T91" s="8">
        <v>5830</v>
      </c>
      <c r="U91" s="3"/>
      <c r="V91" s="7">
        <f t="shared" si="17"/>
        <v>2.1430120530643602</v>
      </c>
      <c r="W91" s="3"/>
      <c r="X91" s="8">
        <f t="shared" si="18"/>
        <v>-5030</v>
      </c>
      <c r="Y91" s="3"/>
      <c r="Z91" s="7">
        <f t="shared" si="19"/>
        <v>-0.86277873070325906</v>
      </c>
    </row>
    <row r="92" spans="1:26" s="64" customFormat="1" ht="15" customHeight="1" x14ac:dyDescent="0.3">
      <c r="A92" s="36"/>
      <c r="B92" s="36"/>
      <c r="C92" s="36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2" customFormat="1" ht="15" customHeight="1" x14ac:dyDescent="0.3">
      <c r="A93" s="11"/>
      <c r="B93" s="27" t="s">
        <v>290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3">
      <c r="A95" s="11"/>
      <c r="B95" s="28" t="s">
        <v>291</v>
      </c>
      <c r="C95" s="28"/>
      <c r="D95" s="23">
        <f>+D30-D32+D93</f>
        <v>-5964.010000000002</v>
      </c>
      <c r="E95" s="15"/>
      <c r="F95" s="22">
        <f>IF(D$12=0,0,D95/D$12)</f>
        <v>-6.3537516688690995E-2</v>
      </c>
      <c r="G95" s="15"/>
      <c r="H95" s="23">
        <f>+H30-H32+H93</f>
        <v>-34647.020000000004</v>
      </c>
      <c r="I95" s="15"/>
      <c r="J95" s="22">
        <f>IF(H$12=0,0,H95/H$12)</f>
        <v>-258.55985074626869</v>
      </c>
      <c r="K95" s="17"/>
      <c r="L95" s="23">
        <f>+D95-H95</f>
        <v>28683.010000000002</v>
      </c>
      <c r="M95" s="17"/>
      <c r="N95" s="22">
        <f>IF(H95=0,0,L95/H95)</f>
        <v>-0.82786369505948854</v>
      </c>
      <c r="O95" s="27"/>
      <c r="P95" s="23">
        <f>+P30-P32+P93</f>
        <v>-126609.13000000002</v>
      </c>
      <c r="Q95" s="15"/>
      <c r="R95" s="22">
        <f>IF(P$12=0,0,P95/P$12)</f>
        <v>-0.72303898669452937</v>
      </c>
      <c r="S95" s="15"/>
      <c r="T95" s="23">
        <f>+T30-T32+T93</f>
        <v>-228895.40000000002</v>
      </c>
      <c r="U95" s="15"/>
      <c r="V95" s="22">
        <f>IF(T$12=0,0,T95/T$12)</f>
        <v>-84.138182005315258</v>
      </c>
      <c r="W95" s="17"/>
      <c r="X95" s="23">
        <f>+P95-T95</f>
        <v>102286.27</v>
      </c>
      <c r="Y95" s="17"/>
      <c r="Z95" s="22">
        <f>IF(T95=0,0,X95/T95)</f>
        <v>-0.44686905022993034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48"/>
      <c r="B97" s="11" t="s">
        <v>292</v>
      </c>
      <c r="C97" s="11"/>
      <c r="D97" s="5">
        <v>11103.67</v>
      </c>
      <c r="E97" s="5"/>
      <c r="F97" s="13">
        <f>IF(D$12=0,0,D97/D$12)</f>
        <v>0.11829282947726737</v>
      </c>
      <c r="G97" s="5"/>
      <c r="H97" s="5">
        <v>69.239999999999995</v>
      </c>
      <c r="I97" s="5"/>
      <c r="J97" s="13">
        <f>IF(H$12=0,0,H97/H$12)</f>
        <v>0.51671641791044776</v>
      </c>
      <c r="K97" s="5"/>
      <c r="L97" s="5">
        <f>+D97-H97</f>
        <v>11034.43</v>
      </c>
      <c r="M97" s="5"/>
      <c r="N97" s="13">
        <f>IF(H97=0,0,L97/H97)</f>
        <v>159.36496244945121</v>
      </c>
      <c r="O97" s="11"/>
      <c r="P97" s="5">
        <v>21857.33</v>
      </c>
      <c r="Q97" s="5"/>
      <c r="R97" s="13">
        <f>IF(P$12=0,0,P97/P$12)</f>
        <v>0.12482276542811672</v>
      </c>
      <c r="S97" s="5"/>
      <c r="T97" s="5">
        <v>538.75</v>
      </c>
      <c r="U97" s="5"/>
      <c r="V97" s="13">
        <f>IF(T$12=0,0,T97/T$12)</f>
        <v>0.19803563354861475</v>
      </c>
      <c r="W97" s="5"/>
      <c r="X97" s="5">
        <f>+P97-T97</f>
        <v>21318.58</v>
      </c>
      <c r="Y97" s="5"/>
      <c r="Z97" s="13">
        <f>IF(T97=0,0,X97/T97)</f>
        <v>39.570450116009283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8" t="s">
        <v>293</v>
      </c>
      <c r="C99" s="28"/>
      <c r="D99" s="33">
        <f>+D95-D97</f>
        <v>-17067.68</v>
      </c>
      <c r="E99" s="15"/>
      <c r="F99" s="34">
        <f>IF(D$12=0,0,D99/D$12)</f>
        <v>-0.18183034616595833</v>
      </c>
      <c r="G99" s="15"/>
      <c r="H99" s="33">
        <f>+H95-H97</f>
        <v>-34716.26</v>
      </c>
      <c r="I99" s="15"/>
      <c r="J99" s="34">
        <f>IF(H$12=0,0,H99/H$12)</f>
        <v>-259.0765671641791</v>
      </c>
      <c r="K99" s="17"/>
      <c r="L99" s="33">
        <f>D99-H99</f>
        <v>17648.580000000002</v>
      </c>
      <c r="M99" s="17"/>
      <c r="N99" s="34">
        <f>IF(H99=0,0,L99/H99)</f>
        <v>-0.50836639661069483</v>
      </c>
      <c r="O99" s="27"/>
      <c r="P99" s="33">
        <f>+P95-P97</f>
        <v>-148466.46000000002</v>
      </c>
      <c r="Q99" s="15"/>
      <c r="R99" s="34">
        <f>IF(P$12=0,0,P99/P$12)</f>
        <v>-0.84786175212264603</v>
      </c>
      <c r="S99" s="15"/>
      <c r="T99" s="33">
        <f>+T95-T97</f>
        <v>-229434.15000000002</v>
      </c>
      <c r="U99" s="15"/>
      <c r="V99" s="34">
        <f>IF(T$12=0,0,T99/T$12)</f>
        <v>-84.336217638863872</v>
      </c>
      <c r="W99" s="17"/>
      <c r="X99" s="33">
        <f>P99-T99</f>
        <v>80967.69</v>
      </c>
      <c r="Y99" s="17"/>
      <c r="Z99" s="34">
        <f>IF(T99=0,0,X99/T99)</f>
        <v>-0.35290164955827191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11"/>
      <c r="B102" s="28" t="s">
        <v>296</v>
      </c>
      <c r="C102" s="28"/>
      <c r="D102" s="35">
        <f>SUM(D99:D101)</f>
        <v>-17067.68</v>
      </c>
      <c r="E102" s="15"/>
      <c r="F102" s="29">
        <f>IF(D$12=0,0,D102/D$12)</f>
        <v>-0.18183034616595833</v>
      </c>
      <c r="G102" s="15"/>
      <c r="H102" s="35">
        <f>SUM(H99:H101)</f>
        <v>-34716.26</v>
      </c>
      <c r="I102" s="15"/>
      <c r="J102" s="29">
        <f>IF(H$12=0,0,H102/H$12)</f>
        <v>-259.0765671641791</v>
      </c>
      <c r="K102" s="17"/>
      <c r="L102" s="35">
        <f>+D102-H102</f>
        <v>17648.580000000002</v>
      </c>
      <c r="M102" s="17"/>
      <c r="N102" s="29">
        <f>IF(H102=0,0,L102/H102)</f>
        <v>-0.50836639661069483</v>
      </c>
      <c r="O102" s="27"/>
      <c r="P102" s="35">
        <f>SUM(P99:P101)</f>
        <v>-148466.46000000002</v>
      </c>
      <c r="Q102" s="15"/>
      <c r="R102" s="29">
        <f>IF(P$12=0,0,P102/P$12)</f>
        <v>-0.84786175212264603</v>
      </c>
      <c r="S102" s="15"/>
      <c r="T102" s="35">
        <f>SUM(T99:T101)</f>
        <v>-229434.15000000002</v>
      </c>
      <c r="U102" s="15"/>
      <c r="V102" s="29">
        <f>IF(T$12=0,0,T102/T$12)</f>
        <v>-84.336217638863872</v>
      </c>
      <c r="W102" s="17"/>
      <c r="X102" s="35">
        <f>+P102-T102</f>
        <v>80967.69</v>
      </c>
      <c r="Y102" s="17"/>
      <c r="Z102" s="29">
        <f>IF(T102=0,0,X102/T102)</f>
        <v>-0.35290164955827191</v>
      </c>
    </row>
    <row r="103" spans="1:26" ht="15" customHeight="1" x14ac:dyDescent="0.3">
      <c r="A103" s="10"/>
      <c r="C103" s="10"/>
      <c r="D103" s="18"/>
      <c r="E103" s="18"/>
      <c r="G103" s="18"/>
      <c r="H103" s="18"/>
      <c r="I103" s="18"/>
      <c r="J103" s="41"/>
      <c r="K103" s="18"/>
      <c r="L103" s="18"/>
      <c r="M103" s="18"/>
      <c r="P103" s="18"/>
      <c r="Q103" s="18"/>
      <c r="R103" s="41"/>
      <c r="S103" s="18"/>
      <c r="T103" s="18"/>
      <c r="U103" s="18"/>
      <c r="V103" s="41"/>
      <c r="W103" s="18"/>
      <c r="X103" s="18"/>
    </row>
    <row r="104" spans="1:26" ht="15" customHeight="1" x14ac:dyDescent="0.3">
      <c r="A104" s="10"/>
      <c r="B104" s="50">
        <v>44634.887726851855</v>
      </c>
      <c r="D104" s="18"/>
      <c r="E104" s="18"/>
      <c r="G104" s="18"/>
      <c r="H104" s="18"/>
      <c r="I104" s="18"/>
      <c r="J104" s="41"/>
      <c r="K104" s="18"/>
      <c r="L104" s="18"/>
      <c r="M104" s="18"/>
      <c r="P104" s="18"/>
      <c r="Q104" s="18"/>
      <c r="R104" s="41"/>
      <c r="S104" s="18"/>
      <c r="T104" s="18"/>
      <c r="U104" s="18"/>
      <c r="V104" s="41"/>
      <c r="W104" s="18"/>
      <c r="X104" s="18"/>
    </row>
    <row r="105" spans="1:26" ht="15" customHeight="1" x14ac:dyDescent="0.3">
      <c r="A105" s="10"/>
      <c r="B105" s="58" t="s">
        <v>297</v>
      </c>
      <c r="D105" s="18"/>
      <c r="E105" s="18"/>
      <c r="G105" s="18"/>
      <c r="H105" s="18"/>
      <c r="I105" s="18"/>
      <c r="J105" s="41"/>
      <c r="K105" s="18"/>
      <c r="L105" s="18"/>
      <c r="M105" s="18"/>
      <c r="P105" s="18"/>
      <c r="Q105" s="18"/>
      <c r="R105" s="41"/>
      <c r="S105" s="18"/>
      <c r="T105" s="18"/>
      <c r="U105" s="18"/>
      <c r="V105" s="41"/>
      <c r="W105" s="18"/>
      <c r="X105" s="18"/>
    </row>
    <row r="106" spans="1:26" ht="15" customHeight="1" x14ac:dyDescent="0.3">
      <c r="A106" s="10"/>
      <c r="B106" s="56"/>
      <c r="D106" s="18"/>
      <c r="E106" s="18"/>
      <c r="G106" s="18"/>
      <c r="H106" s="18"/>
      <c r="I106" s="18"/>
      <c r="J106" s="41"/>
      <c r="K106" s="18"/>
      <c r="L106" s="18"/>
      <c r="M106" s="18"/>
      <c r="P106" s="18"/>
      <c r="Q106" s="18"/>
      <c r="R106" s="41"/>
      <c r="S106" s="18"/>
      <c r="T106" s="18"/>
      <c r="U106" s="18"/>
      <c r="V106" s="41"/>
      <c r="W106" s="18"/>
      <c r="X106" s="18"/>
    </row>
    <row r="107" spans="1:26" ht="15" customHeight="1" x14ac:dyDescent="0.3">
      <c r="D107" s="18"/>
      <c r="E107" s="18"/>
      <c r="G107" s="18"/>
      <c r="H107" s="18"/>
      <c r="I107" s="18"/>
      <c r="J107" s="41"/>
      <c r="K107" s="18"/>
      <c r="L107" s="18"/>
      <c r="M107" s="18"/>
      <c r="P107" s="18"/>
      <c r="Q107" s="18"/>
      <c r="R107" s="41"/>
      <c r="S107" s="18"/>
      <c r="T107" s="18"/>
      <c r="U107" s="18"/>
      <c r="V107" s="41"/>
      <c r="W107" s="18"/>
      <c r="X107" s="18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BD338-A8BD-E9E5-BCA5-FD4281161085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","309"," - ","Carts")</f>
        <v>Department 309 - Carts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22053.61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22053.61</v>
      </c>
      <c r="M12" s="5"/>
      <c r="N12" s="13">
        <f>IF(H12=0,0,L12/H12)</f>
        <v>0</v>
      </c>
      <c r="O12" s="11"/>
      <c r="P12" s="5">
        <f>SUM(OSRRefP13x_0)</f>
        <v>22053.61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22053.61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--3720.1</f>
        <v>3720.1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3720.1</v>
      </c>
      <c r="M13" s="3"/>
      <c r="N13" s="20">
        <f>IF(H13=0,0,L13/H13)</f>
        <v>0</v>
      </c>
      <c r="O13" s="12"/>
      <c r="P13" s="3">
        <f>--3720.1</f>
        <v>3720.1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3720.1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--25.17</f>
        <v>25.17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25.17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--18102.02</f>
        <v>18102.02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18102.02</v>
      </c>
      <c r="M15" s="3"/>
      <c r="N15" s="20">
        <f>IF(H15=0,0,L15/H15)</f>
        <v>0</v>
      </c>
      <c r="O15" s="12"/>
      <c r="P15" s="3">
        <f>--18102.02</f>
        <v>18102.02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18102.02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--206.32</f>
        <v>206.32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206.32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10435.700000000001</v>
      </c>
      <c r="E18" s="5"/>
      <c r="F18" s="13">
        <f>IF(D$12=0,0,D18/D$12)</f>
        <v>0.47319690517788249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10435.700000000001</v>
      </c>
      <c r="M18" s="5"/>
      <c r="N18" s="13">
        <f>IF(H18=0,0,L18/H18)</f>
        <v>0</v>
      </c>
      <c r="O18" s="11"/>
      <c r="P18" s="5">
        <f>SUM(OSRRefP16x_0)</f>
        <v>14040.11</v>
      </c>
      <c r="Q18" s="5"/>
      <c r="R18" s="13">
        <f>IF(P$12=0,0,P18/P$12)</f>
        <v>0.636635453333944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14040.11</v>
      </c>
      <c r="Y18" s="5"/>
      <c r="Z18" s="13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0</v>
      </c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10435.700000000001</v>
      </c>
      <c r="E20" s="3"/>
      <c r="F20" s="20">
        <f>IF(D$12=0,0,D20/D$12)</f>
        <v>0.47319690517788249</v>
      </c>
      <c r="G20" s="3"/>
      <c r="H20" s="3"/>
      <c r="I20" s="3"/>
      <c r="J20" s="20">
        <f>IF(H$12=0,0,H20/H$12)</f>
        <v>0</v>
      </c>
      <c r="K20" s="3"/>
      <c r="L20" s="3">
        <f>+D20-H20</f>
        <v>10435.700000000001</v>
      </c>
      <c r="M20" s="3"/>
      <c r="N20" s="20">
        <f>IF(H20=0,0,L20/H20)</f>
        <v>0</v>
      </c>
      <c r="O20" s="12"/>
      <c r="P20" s="3">
        <v>14040.11</v>
      </c>
      <c r="Q20" s="3"/>
      <c r="R20" s="20">
        <f>IF(P$12=0,0,P20/P$12)</f>
        <v>0.636635453333944</v>
      </c>
      <c r="S20" s="3"/>
      <c r="T20" s="3"/>
      <c r="U20" s="3"/>
      <c r="V20" s="20">
        <f>IF(T$12=0,0,T20/T$12)</f>
        <v>0</v>
      </c>
      <c r="W20" s="3"/>
      <c r="X20" s="3">
        <f>+P20-T20</f>
        <v>14040.11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288</v>
      </c>
      <c r="C22" s="28"/>
      <c r="D22" s="23">
        <f>D12-D18</f>
        <v>11617.91</v>
      </c>
      <c r="E22" s="15"/>
      <c r="F22" s="22">
        <f>IF(D$12=0,0,D22/D$12)</f>
        <v>0.52680309482211751</v>
      </c>
      <c r="G22" s="15"/>
      <c r="H22" s="23">
        <f>H12-H18</f>
        <v>0</v>
      </c>
      <c r="I22" s="15"/>
      <c r="J22" s="22">
        <f>IF(H$12=0,0,H22/H$12)</f>
        <v>0</v>
      </c>
      <c r="K22" s="17"/>
      <c r="L22" s="23">
        <f>+D22-H22</f>
        <v>11617.91</v>
      </c>
      <c r="M22" s="17"/>
      <c r="N22" s="22">
        <f>IF(H22=0,0,L22/H22)</f>
        <v>0</v>
      </c>
      <c r="O22" s="27"/>
      <c r="P22" s="23">
        <f>P12-P18</f>
        <v>8013.5</v>
      </c>
      <c r="Q22" s="15"/>
      <c r="R22" s="22">
        <f>IF(P$12=0,0,P22/P$12)</f>
        <v>0.363364546666056</v>
      </c>
      <c r="S22" s="15"/>
      <c r="T22" s="23">
        <f>T12-T18</f>
        <v>0</v>
      </c>
      <c r="U22" s="15"/>
      <c r="V22" s="22">
        <f>IF(T$12=0,0,T22/T$12)</f>
        <v>0</v>
      </c>
      <c r="W22" s="17"/>
      <c r="X22" s="23">
        <f>+P22-T22</f>
        <v>8013.5</v>
      </c>
      <c r="Y22" s="17"/>
      <c r="Z22" s="22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x14ac:dyDescent="0.3">
      <c r="A24" s="11"/>
      <c r="B24" s="27" t="s">
        <v>289</v>
      </c>
      <c r="C24" s="11"/>
      <c r="D24" s="21" cm="1">
        <f t="array" ref="D24">SUM(OSRRefD22x_0)</f>
        <v>7102.7</v>
      </c>
      <c r="E24" s="21"/>
      <c r="F24" s="30">
        <f t="shared" ref="F24:F55" si="0">IF(D$12=0,0,D24/D$12)</f>
        <v>0.32206518569975617</v>
      </c>
      <c r="G24" s="21"/>
      <c r="H24" s="21" cm="1">
        <f t="array" ref="H24">SUM(OSRRefH22x_0)</f>
        <v>760.09999999999991</v>
      </c>
      <c r="I24" s="21"/>
      <c r="J24" s="30">
        <f t="shared" ref="J24:J55" si="1">IF(H$12=0,0,H24/H$12)</f>
        <v>0</v>
      </c>
      <c r="K24" s="5"/>
      <c r="L24" s="21">
        <f t="shared" ref="L24:L55" si="2">+D24-H24</f>
        <v>6342.6</v>
      </c>
      <c r="M24" s="5"/>
      <c r="N24" s="30">
        <f t="shared" ref="N24:N55" si="3">IF(H24=0,0,L24/H24)</f>
        <v>8.3444283646888575</v>
      </c>
      <c r="O24" s="11"/>
      <c r="P24" s="21" cm="1">
        <f t="array" ref="P24">SUM(OSRRefP22x_0)</f>
        <v>13594.319999999998</v>
      </c>
      <c r="Q24" s="21"/>
      <c r="R24" s="30">
        <f t="shared" ref="R24:R55" si="4">IF(P$12=0,0,P24/P$12)</f>
        <v>0.61642152917368165</v>
      </c>
      <c r="S24" s="21"/>
      <c r="T24" s="21" cm="1">
        <f t="array" ref="T24">SUM(OSRRefT22x_0)</f>
        <v>7771.1</v>
      </c>
      <c r="U24" s="21"/>
      <c r="V24" s="30">
        <f t="shared" ref="V24:V55" si="5">IF(T$12=0,0,T24/T$12)</f>
        <v>0</v>
      </c>
      <c r="W24" s="5"/>
      <c r="X24" s="21">
        <f t="shared" ref="X24:X55" si="6">+P24-T24</f>
        <v>5823.2199999999975</v>
      </c>
      <c r="Y24" s="5"/>
      <c r="Z24" s="30">
        <f t="shared" ref="Z24:Z55" si="7">IF(T24=0,0,X24/T24)</f>
        <v>0.74934307884340667</v>
      </c>
    </row>
    <row r="25" spans="1:26" s="68" customFormat="1" ht="15" customHeight="1" outlineLevel="1" collapsed="1" x14ac:dyDescent="0.3">
      <c r="A25" s="25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34.79</v>
      </c>
      <c r="E25" s="2"/>
      <c r="F25" s="6">
        <f t="shared" si="0"/>
        <v>1.5775195081440181E-3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34.79</v>
      </c>
      <c r="M25" s="2"/>
      <c r="N25" s="6">
        <f t="shared" si="3"/>
        <v>0</v>
      </c>
      <c r="O25" s="14"/>
      <c r="P25" s="2">
        <f>SUM(OSRRefP22_0x_0)</f>
        <v>34.79</v>
      </c>
      <c r="Q25" s="2"/>
      <c r="R25" s="6">
        <f t="shared" si="4"/>
        <v>1.5775195081440181E-3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34.79</v>
      </c>
      <c r="Y25" s="2"/>
      <c r="Z25" s="6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29.59</v>
      </c>
      <c r="E26" s="3"/>
      <c r="F26" s="7">
        <f t="shared" si="0"/>
        <v>1.341730446852012E-3</v>
      </c>
      <c r="G26" s="3"/>
      <c r="H26" s="8"/>
      <c r="I26" s="3"/>
      <c r="J26" s="7">
        <f t="shared" si="1"/>
        <v>0</v>
      </c>
      <c r="K26" s="3"/>
      <c r="L26" s="8">
        <f t="shared" si="2"/>
        <v>29.59</v>
      </c>
      <c r="M26" s="3"/>
      <c r="N26" s="7">
        <f t="shared" si="3"/>
        <v>0</v>
      </c>
      <c r="O26" s="12"/>
      <c r="P26" s="8">
        <v>29.59</v>
      </c>
      <c r="Q26" s="3"/>
      <c r="R26" s="7">
        <f t="shared" si="4"/>
        <v>1.341730446852012E-3</v>
      </c>
      <c r="S26" s="3"/>
      <c r="T26" s="8"/>
      <c r="U26" s="3"/>
      <c r="V26" s="7">
        <f t="shared" si="5"/>
        <v>0</v>
      </c>
      <c r="W26" s="3"/>
      <c r="X26" s="8">
        <f t="shared" si="6"/>
        <v>29.59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5.2</v>
      </c>
      <c r="E27" s="3"/>
      <c r="F27" s="7">
        <f t="shared" si="0"/>
        <v>2.3578906129200617E-4</v>
      </c>
      <c r="G27" s="3"/>
      <c r="H27" s="8"/>
      <c r="I27" s="3"/>
      <c r="J27" s="7">
        <f t="shared" si="1"/>
        <v>0</v>
      </c>
      <c r="K27" s="3"/>
      <c r="L27" s="8">
        <f t="shared" si="2"/>
        <v>5.2</v>
      </c>
      <c r="M27" s="3"/>
      <c r="N27" s="7">
        <f t="shared" si="3"/>
        <v>0</v>
      </c>
      <c r="O27" s="12"/>
      <c r="P27" s="8">
        <v>5.2</v>
      </c>
      <c r="Q27" s="3"/>
      <c r="R27" s="7">
        <f t="shared" si="4"/>
        <v>2.3578906129200617E-4</v>
      </c>
      <c r="S27" s="3"/>
      <c r="T27" s="8"/>
      <c r="U27" s="3"/>
      <c r="V27" s="7">
        <f t="shared" si="5"/>
        <v>0</v>
      </c>
      <c r="W27" s="3"/>
      <c r="X27" s="8">
        <f t="shared" si="6"/>
        <v>5.2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3138.25</v>
      </c>
      <c r="E28" s="2"/>
      <c r="F28" s="6">
        <f t="shared" si="0"/>
        <v>0.14230096569223813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3138.25</v>
      </c>
      <c r="M28" s="2"/>
      <c r="N28" s="6">
        <f t="shared" si="3"/>
        <v>0</v>
      </c>
      <c r="O28" s="14"/>
      <c r="P28" s="2">
        <f>SUM(OSRRefP22_1x_0)</f>
        <v>3161.25</v>
      </c>
      <c r="Q28" s="2"/>
      <c r="R28" s="6">
        <f t="shared" si="4"/>
        <v>0.14334387884795277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3161.25</v>
      </c>
      <c r="Y28" s="2"/>
      <c r="Z28" s="6">
        <f t="shared" si="7"/>
        <v>0</v>
      </c>
    </row>
    <row r="29" spans="1:26" s="69" customFormat="1" ht="15" hidden="1" customHeight="1" outlineLevel="2" x14ac:dyDescent="0.3">
      <c r="A29" s="26"/>
      <c r="B29" s="12" t="str">
        <f>CONCATENATE("          ","6007"," - ","STUDENT HOURLY")</f>
        <v xml:space="preserve">          6007 - STUDENT HOURLY</v>
      </c>
      <c r="C29" s="12"/>
      <c r="D29" s="8">
        <v>2414.6999999999998</v>
      </c>
      <c r="E29" s="3"/>
      <c r="F29" s="7">
        <f t="shared" si="0"/>
        <v>0.10949227813496293</v>
      </c>
      <c r="G29" s="3"/>
      <c r="H29" s="8"/>
      <c r="I29" s="3"/>
      <c r="J29" s="7">
        <f t="shared" si="1"/>
        <v>0</v>
      </c>
      <c r="K29" s="3"/>
      <c r="L29" s="8">
        <f t="shared" si="2"/>
        <v>2414.6999999999998</v>
      </c>
      <c r="M29" s="3"/>
      <c r="N29" s="7">
        <f t="shared" si="3"/>
        <v>0</v>
      </c>
      <c r="O29" s="12"/>
      <c r="P29" s="8">
        <v>2437.6999999999998</v>
      </c>
      <c r="Q29" s="3"/>
      <c r="R29" s="7">
        <f t="shared" si="4"/>
        <v>0.11053519129067757</v>
      </c>
      <c r="S29" s="3"/>
      <c r="T29" s="8"/>
      <c r="U29" s="3"/>
      <c r="V29" s="7">
        <f t="shared" si="5"/>
        <v>0</v>
      </c>
      <c r="W29" s="3"/>
      <c r="X29" s="8">
        <f t="shared" si="6"/>
        <v>2437.6999999999998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","6008"," - ","STUDENT HOURLY-FICA EXEMPT")</f>
        <v xml:space="preserve">          6008 - STUDENT HOURLY-FICA EXEMPT</v>
      </c>
      <c r="C30" s="12"/>
      <c r="D30" s="8">
        <v>723.55</v>
      </c>
      <c r="E30" s="3"/>
      <c r="F30" s="7">
        <f t="shared" si="0"/>
        <v>3.2808687557275201E-2</v>
      </c>
      <c r="G30" s="3"/>
      <c r="H30" s="8"/>
      <c r="I30" s="3"/>
      <c r="J30" s="7">
        <f t="shared" si="1"/>
        <v>0</v>
      </c>
      <c r="K30" s="3"/>
      <c r="L30" s="8">
        <f t="shared" si="2"/>
        <v>723.55</v>
      </c>
      <c r="M30" s="3"/>
      <c r="N30" s="7">
        <f t="shared" si="3"/>
        <v>0</v>
      </c>
      <c r="O30" s="12"/>
      <c r="P30" s="8">
        <v>723.55</v>
      </c>
      <c r="Q30" s="3"/>
      <c r="R30" s="7">
        <f t="shared" si="4"/>
        <v>3.2808687557275201E-2</v>
      </c>
      <c r="S30" s="3"/>
      <c r="T30" s="8"/>
      <c r="U30" s="3"/>
      <c r="V30" s="7">
        <f t="shared" si="5"/>
        <v>0</v>
      </c>
      <c r="W30" s="3"/>
      <c r="X30" s="8">
        <f t="shared" si="6"/>
        <v>723.55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39.69</v>
      </c>
      <c r="E31" s="2"/>
      <c r="F31" s="6">
        <f t="shared" si="0"/>
        <v>1.7997053543614854E-3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39.69</v>
      </c>
      <c r="M31" s="2"/>
      <c r="N31" s="6">
        <f t="shared" si="3"/>
        <v>0</v>
      </c>
      <c r="O31" s="14"/>
      <c r="P31" s="2">
        <f>SUM(OSRRefP22_2x_0)</f>
        <v>39.69</v>
      </c>
      <c r="Q31" s="2"/>
      <c r="R31" s="6">
        <f t="shared" si="4"/>
        <v>1.7997053543614854E-3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39.69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","6362"," - ","ADVERTISING EXPENSE")</f>
        <v xml:space="preserve">          6362 - ADVERTISING EXPENSE</v>
      </c>
      <c r="C32" s="12"/>
      <c r="D32" s="8">
        <v>39.69</v>
      </c>
      <c r="E32" s="3"/>
      <c r="F32" s="7">
        <f t="shared" si="0"/>
        <v>1.7997053543614854E-3</v>
      </c>
      <c r="G32" s="3"/>
      <c r="H32" s="8"/>
      <c r="I32" s="3"/>
      <c r="J32" s="7">
        <f t="shared" si="1"/>
        <v>0</v>
      </c>
      <c r="K32" s="3"/>
      <c r="L32" s="8">
        <f t="shared" si="2"/>
        <v>39.69</v>
      </c>
      <c r="M32" s="3"/>
      <c r="N32" s="7">
        <f t="shared" si="3"/>
        <v>0</v>
      </c>
      <c r="O32" s="12"/>
      <c r="P32" s="8">
        <v>39.69</v>
      </c>
      <c r="Q32" s="3"/>
      <c r="R32" s="7">
        <f t="shared" si="4"/>
        <v>1.7997053543614854E-3</v>
      </c>
      <c r="S32" s="3"/>
      <c r="T32" s="8"/>
      <c r="U32" s="3"/>
      <c r="V32" s="7">
        <f t="shared" si="5"/>
        <v>0</v>
      </c>
      <c r="W32" s="3"/>
      <c r="X32" s="8">
        <f t="shared" si="6"/>
        <v>39.69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-5.1100000000000003</v>
      </c>
      <c r="E33" s="2"/>
      <c r="F33" s="6">
        <f t="shared" si="0"/>
        <v>-2.3170809676964453E-4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-5.1100000000000003</v>
      </c>
      <c r="M33" s="2"/>
      <c r="N33" s="6">
        <f t="shared" si="3"/>
        <v>0</v>
      </c>
      <c r="O33" s="14"/>
      <c r="P33" s="2">
        <f>SUM(OSRRefP22_3x_0)</f>
        <v>-5.1100000000000003</v>
      </c>
      <c r="Q33" s="2"/>
      <c r="R33" s="6">
        <f t="shared" si="4"/>
        <v>-2.3170809676964453E-4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-5.1100000000000003</v>
      </c>
      <c r="Y33" s="2"/>
      <c r="Z33" s="6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","6272"," - ","CASH (OVER/SHORT)")</f>
        <v xml:space="preserve">          6272 - CASH (OVER/SHORT)</v>
      </c>
      <c r="C34" s="12"/>
      <c r="D34" s="8">
        <v>-5.1100000000000003</v>
      </c>
      <c r="E34" s="3"/>
      <c r="F34" s="7">
        <f t="shared" si="0"/>
        <v>-2.3170809676964453E-4</v>
      </c>
      <c r="G34" s="3"/>
      <c r="H34" s="8"/>
      <c r="I34" s="3"/>
      <c r="J34" s="7">
        <f t="shared" si="1"/>
        <v>0</v>
      </c>
      <c r="K34" s="3"/>
      <c r="L34" s="8">
        <f t="shared" si="2"/>
        <v>-5.1100000000000003</v>
      </c>
      <c r="M34" s="3"/>
      <c r="N34" s="7">
        <f t="shared" si="3"/>
        <v>0</v>
      </c>
      <c r="O34" s="12"/>
      <c r="P34" s="8">
        <v>-5.1100000000000003</v>
      </c>
      <c r="Q34" s="3"/>
      <c r="R34" s="7">
        <f t="shared" si="4"/>
        <v>-2.3170809676964453E-4</v>
      </c>
      <c r="S34" s="3"/>
      <c r="T34" s="8"/>
      <c r="U34" s="3"/>
      <c r="V34" s="7">
        <f t="shared" si="5"/>
        <v>0</v>
      </c>
      <c r="W34" s="3"/>
      <c r="X34" s="8">
        <f t="shared" si="6"/>
        <v>-5.1100000000000003</v>
      </c>
      <c r="Y34" s="3"/>
      <c r="Z34" s="7">
        <f t="shared" si="7"/>
        <v>0</v>
      </c>
    </row>
    <row r="35" spans="1:26" s="68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1154.5999999999999</v>
      </c>
      <c r="E35" s="2"/>
      <c r="F35" s="6">
        <f t="shared" si="0"/>
        <v>5.2354240416875052E-2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1154.5999999999999</v>
      </c>
      <c r="M35" s="2"/>
      <c r="N35" s="6">
        <f t="shared" si="3"/>
        <v>0</v>
      </c>
      <c r="O35" s="14"/>
      <c r="P35" s="2">
        <f>SUM(OSRRefP22_4x_0)</f>
        <v>1154.8</v>
      </c>
      <c r="Q35" s="2"/>
      <c r="R35" s="6">
        <f t="shared" si="4"/>
        <v>5.2363309226924747E-2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1154.8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8">
        <v>1154.5999999999999</v>
      </c>
      <c r="E36" s="3"/>
      <c r="F36" s="7">
        <f t="shared" si="0"/>
        <v>5.2354240416875052E-2</v>
      </c>
      <c r="G36" s="3"/>
      <c r="H36" s="8"/>
      <c r="I36" s="3"/>
      <c r="J36" s="7">
        <f t="shared" si="1"/>
        <v>0</v>
      </c>
      <c r="K36" s="3"/>
      <c r="L36" s="8">
        <f t="shared" si="2"/>
        <v>1154.5999999999999</v>
      </c>
      <c r="M36" s="3"/>
      <c r="N36" s="7">
        <f t="shared" si="3"/>
        <v>0</v>
      </c>
      <c r="O36" s="12"/>
      <c r="P36" s="8">
        <v>1154.8</v>
      </c>
      <c r="Q36" s="3"/>
      <c r="R36" s="7">
        <f t="shared" si="4"/>
        <v>5.2363309226924747E-2</v>
      </c>
      <c r="S36" s="3"/>
      <c r="T36" s="8"/>
      <c r="U36" s="3"/>
      <c r="V36" s="7">
        <f t="shared" si="5"/>
        <v>0</v>
      </c>
      <c r="W36" s="3"/>
      <c r="X36" s="8">
        <f t="shared" si="6"/>
        <v>1154.8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2.6704924953329639E-2</v>
      </c>
      <c r="G37" s="2"/>
      <c r="H37" s="2">
        <f>SUM(OSRRefH22_5x_0)</f>
        <v>588.16999999999996</v>
      </c>
      <c r="I37" s="2"/>
      <c r="J37" s="6">
        <f t="shared" si="1"/>
        <v>0</v>
      </c>
      <c r="K37" s="2"/>
      <c r="L37" s="2">
        <f t="shared" si="2"/>
        <v>0.7700000000000955</v>
      </c>
      <c r="M37" s="2"/>
      <c r="N37" s="6">
        <f t="shared" si="3"/>
        <v>1.3091453151301419E-3</v>
      </c>
      <c r="O37" s="14"/>
      <c r="P37" s="2">
        <f>SUM(OSRRefP22_5x_0)</f>
        <v>4711.5200000000004</v>
      </c>
      <c r="Q37" s="2"/>
      <c r="R37" s="6">
        <f t="shared" si="4"/>
        <v>0.21363939962663711</v>
      </c>
      <c r="S37" s="2"/>
      <c r="T37" s="2">
        <f>SUM(OSRRefT22_5x_0)</f>
        <v>4441.1400000000003</v>
      </c>
      <c r="U37" s="2"/>
      <c r="V37" s="6">
        <f t="shared" si="5"/>
        <v>0</v>
      </c>
      <c r="W37" s="2"/>
      <c r="X37" s="2">
        <f t="shared" si="6"/>
        <v>270.38000000000011</v>
      </c>
      <c r="Y37" s="2"/>
      <c r="Z37" s="6">
        <f t="shared" si="7"/>
        <v>6.0880764848665003E-2</v>
      </c>
    </row>
    <row r="38" spans="1:26" s="69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588.94000000000005</v>
      </c>
      <c r="E38" s="3"/>
      <c r="F38" s="7">
        <f t="shared" si="0"/>
        <v>2.6704924953329639E-2</v>
      </c>
      <c r="G38" s="3"/>
      <c r="H38" s="8">
        <v>588.16999999999996</v>
      </c>
      <c r="I38" s="3"/>
      <c r="J38" s="7">
        <f t="shared" si="1"/>
        <v>0</v>
      </c>
      <c r="K38" s="3"/>
      <c r="L38" s="8">
        <f t="shared" si="2"/>
        <v>0.7700000000000955</v>
      </c>
      <c r="M38" s="3"/>
      <c r="N38" s="7">
        <f t="shared" si="3"/>
        <v>1.3091453151301419E-3</v>
      </c>
      <c r="O38" s="12"/>
      <c r="P38" s="8">
        <v>4711.5200000000004</v>
      </c>
      <c r="Q38" s="3"/>
      <c r="R38" s="7">
        <f t="shared" si="4"/>
        <v>0.21363939962663711</v>
      </c>
      <c r="S38" s="3"/>
      <c r="T38" s="8">
        <v>4441.1400000000003</v>
      </c>
      <c r="U38" s="3"/>
      <c r="V38" s="7">
        <f t="shared" si="5"/>
        <v>0</v>
      </c>
      <c r="W38" s="3"/>
      <c r="X38" s="8">
        <f t="shared" si="6"/>
        <v>270.38000000000011</v>
      </c>
      <c r="Y38" s="3"/>
      <c r="Z38" s="7">
        <f t="shared" si="7"/>
        <v>6.0880764848665003E-2</v>
      </c>
    </row>
    <row r="39" spans="1:26" s="68" customFormat="1" ht="15" customHeight="1" outlineLevel="1" collapsed="1" x14ac:dyDescent="0.3">
      <c r="A39" s="25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1.3603215074538817E-3</v>
      </c>
      <c r="S39" s="2"/>
      <c r="T39" s="2">
        <f>SUM(OSRRefT22_6x_0)</f>
        <v>12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1.5</v>
      </c>
    </row>
    <row r="40" spans="1:26" s="69" customFormat="1" ht="15" hidden="1" customHeight="1" outlineLevel="2" x14ac:dyDescent="0.3">
      <c r="A40" s="26"/>
      <c r="B40" s="12" t="str">
        <f>CONCATENATE("          ","6351"," - ","EQUIPMENT RENTAL")</f>
        <v xml:space="preserve">          6351 - EQUIPMENT RENTAL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30</v>
      </c>
      <c r="Q40" s="3"/>
      <c r="R40" s="7">
        <f t="shared" si="4"/>
        <v>1.3603215074538817E-3</v>
      </c>
      <c r="S40" s="3"/>
      <c r="T40" s="8">
        <v>12</v>
      </c>
      <c r="U40" s="3"/>
      <c r="V40" s="7">
        <f t="shared" si="5"/>
        <v>0</v>
      </c>
      <c r="W40" s="3"/>
      <c r="X40" s="8">
        <f t="shared" si="6"/>
        <v>18</v>
      </c>
      <c r="Y40" s="3"/>
      <c r="Z40" s="7">
        <f t="shared" si="7"/>
        <v>1.5</v>
      </c>
    </row>
    <row r="41" spans="1:26" s="68" customFormat="1" ht="15" customHeight="1" outlineLevel="1" collapsed="1" x14ac:dyDescent="0.3">
      <c r="A41" s="25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411.65</v>
      </c>
      <c r="E41" s="2"/>
      <c r="F41" s="6">
        <f t="shared" si="0"/>
        <v>1.8665878284779679E-2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411.65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3.839054014286096E-2</v>
      </c>
      <c r="S41" s="2"/>
      <c r="T41" s="2">
        <f>SUM(OSRRefT22_7x_0)</f>
        <v>575</v>
      </c>
      <c r="U41" s="2"/>
      <c r="V41" s="6">
        <f t="shared" si="5"/>
        <v>0</v>
      </c>
      <c r="W41" s="2"/>
      <c r="X41" s="2">
        <f t="shared" si="6"/>
        <v>271.64999999999998</v>
      </c>
      <c r="Y41" s="2"/>
      <c r="Z41" s="6">
        <f t="shared" si="7"/>
        <v>0.47243478260869559</v>
      </c>
    </row>
    <row r="42" spans="1:26" s="69" customFormat="1" ht="15" hidden="1" customHeight="1" outlineLevel="2" x14ac:dyDescent="0.3">
      <c r="A42" s="26"/>
      <c r="B42" s="12" t="str">
        <f>CONCATENATE("          ","6279"," - ","GENERAL EXPENSE")</f>
        <v xml:space="preserve">          6279 - GENERAL EXPENSE</v>
      </c>
      <c r="C42" s="12"/>
      <c r="D42" s="8">
        <v>411.65</v>
      </c>
      <c r="E42" s="3"/>
      <c r="F42" s="7">
        <f t="shared" si="0"/>
        <v>1.8665878284779679E-2</v>
      </c>
      <c r="G42" s="3"/>
      <c r="H42" s="8"/>
      <c r="I42" s="3"/>
      <c r="J42" s="7">
        <f t="shared" si="1"/>
        <v>0</v>
      </c>
      <c r="K42" s="3"/>
      <c r="L42" s="8">
        <f t="shared" si="2"/>
        <v>411.65</v>
      </c>
      <c r="M42" s="3"/>
      <c r="N42" s="7">
        <f t="shared" si="3"/>
        <v>0</v>
      </c>
      <c r="O42" s="12"/>
      <c r="P42" s="8">
        <v>846.65</v>
      </c>
      <c r="Q42" s="3"/>
      <c r="R42" s="7">
        <f t="shared" si="4"/>
        <v>3.839054014286096E-2</v>
      </c>
      <c r="S42" s="3"/>
      <c r="T42" s="8">
        <v>575</v>
      </c>
      <c r="U42" s="3"/>
      <c r="V42" s="7">
        <f t="shared" si="5"/>
        <v>0</v>
      </c>
      <c r="W42" s="3"/>
      <c r="X42" s="8">
        <f t="shared" si="6"/>
        <v>271.64999999999998</v>
      </c>
      <c r="Y42" s="3"/>
      <c r="Z42" s="7">
        <f t="shared" si="7"/>
        <v>0.47243478260869559</v>
      </c>
    </row>
    <row r="43" spans="1:26" s="68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1168.8399999999999</v>
      </c>
      <c r="E43" s="2"/>
      <c r="F43" s="6">
        <f t="shared" si="0"/>
        <v>5.2999939692413164E-2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1168.8399999999999</v>
      </c>
      <c r="M43" s="2"/>
      <c r="N43" s="6">
        <f t="shared" si="3"/>
        <v>0</v>
      </c>
      <c r="O43" s="14"/>
      <c r="P43" s="2">
        <f>SUM(OSRRefP22_8x_0)</f>
        <v>1591.62</v>
      </c>
      <c r="Q43" s="2"/>
      <c r="R43" s="6">
        <f t="shared" si="4"/>
        <v>7.217049725645823E-2</v>
      </c>
      <c r="S43" s="2"/>
      <c r="T43" s="2">
        <f>SUM(OSRRefT22_8x_0)</f>
        <v>1232.0500000000002</v>
      </c>
      <c r="U43" s="2"/>
      <c r="V43" s="6">
        <f t="shared" si="5"/>
        <v>0</v>
      </c>
      <c r="W43" s="2"/>
      <c r="X43" s="2">
        <f t="shared" si="6"/>
        <v>359.56999999999971</v>
      </c>
      <c r="Y43" s="2"/>
      <c r="Z43" s="6">
        <f t="shared" si="7"/>
        <v>0.29184692179700472</v>
      </c>
    </row>
    <row r="44" spans="1:26" s="69" customFormat="1" ht="15" hidden="1" customHeight="1" outlineLevel="2" x14ac:dyDescent="0.3">
      <c r="A44" s="26"/>
      <c r="B44" s="12" t="str">
        <f>CONCATENATE("          ","6373"," - ","MAINTENANCE CONTRACTS")</f>
        <v xml:space="preserve">          6373 - MAINTENANCE CONTRACTS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97.83</v>
      </c>
      <c r="Q44" s="3"/>
      <c r="R44" s="7">
        <f t="shared" si="4"/>
        <v>4.4360084358071082E-3</v>
      </c>
      <c r="S44" s="3"/>
      <c r="T44" s="8">
        <v>214.36</v>
      </c>
      <c r="U44" s="3"/>
      <c r="V44" s="7">
        <f t="shared" si="5"/>
        <v>0</v>
      </c>
      <c r="W44" s="3"/>
      <c r="X44" s="8">
        <f t="shared" si="6"/>
        <v>-116.53000000000002</v>
      </c>
      <c r="Y44" s="3"/>
      <c r="Z44" s="7">
        <f t="shared" si="7"/>
        <v>-0.54361821235305097</v>
      </c>
    </row>
    <row r="45" spans="1:26" s="69" customFormat="1" ht="15" hidden="1" customHeight="1" outlineLevel="2" x14ac:dyDescent="0.3">
      <c r="A45" s="26"/>
      <c r="B45" s="12" t="str">
        <f>CONCATENATE("          ","6375"," - ","OUTSIDE REPAIRS &amp; MAINTENANCE")</f>
        <v xml:space="preserve">          6375 - OUTSIDE REPAIRS &amp; MAINTENANCE</v>
      </c>
      <c r="C45" s="12"/>
      <c r="D45" s="8">
        <v>1168.8399999999999</v>
      </c>
      <c r="E45" s="3"/>
      <c r="F45" s="7">
        <f t="shared" si="0"/>
        <v>5.2999939692413164E-2</v>
      </c>
      <c r="G45" s="3"/>
      <c r="H45" s="8"/>
      <c r="I45" s="3"/>
      <c r="J45" s="7">
        <f t="shared" si="1"/>
        <v>0</v>
      </c>
      <c r="K45" s="3"/>
      <c r="L45" s="8">
        <f t="shared" si="2"/>
        <v>1168.8399999999999</v>
      </c>
      <c r="M45" s="3"/>
      <c r="N45" s="7">
        <f t="shared" si="3"/>
        <v>0</v>
      </c>
      <c r="O45" s="12"/>
      <c r="P45" s="8">
        <v>1493.79</v>
      </c>
      <c r="Q45" s="3"/>
      <c r="R45" s="7">
        <f t="shared" si="4"/>
        <v>6.7734488820651126E-2</v>
      </c>
      <c r="S45" s="3"/>
      <c r="T45" s="8">
        <v>1017.69</v>
      </c>
      <c r="U45" s="3"/>
      <c r="V45" s="7">
        <f t="shared" si="5"/>
        <v>0</v>
      </c>
      <c r="W45" s="3"/>
      <c r="X45" s="8">
        <f t="shared" si="6"/>
        <v>476.09999999999991</v>
      </c>
      <c r="Y45" s="3"/>
      <c r="Z45" s="7">
        <f t="shared" si="7"/>
        <v>0.4678241900775284</v>
      </c>
    </row>
    <row r="46" spans="1:26" s="68" customFormat="1" ht="15" customHeight="1" outlineLevel="1" collapsed="1" x14ac:dyDescent="0.3">
      <c r="A46" s="25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274.77</v>
      </c>
      <c r="E46" s="2"/>
      <c r="F46" s="6">
        <f t="shared" si="0"/>
        <v>1.2459184686770101E-2</v>
      </c>
      <c r="G46" s="2"/>
      <c r="H46" s="2">
        <f>SUM(OSRRefH22_9x_0)</f>
        <v>141.93</v>
      </c>
      <c r="I46" s="2"/>
      <c r="J46" s="6">
        <f t="shared" si="1"/>
        <v>0</v>
      </c>
      <c r="K46" s="2"/>
      <c r="L46" s="2">
        <f t="shared" si="2"/>
        <v>132.83999999999997</v>
      </c>
      <c r="M46" s="2"/>
      <c r="N46" s="6">
        <f t="shared" si="3"/>
        <v>0.93595434369055142</v>
      </c>
      <c r="O46" s="14"/>
      <c r="P46" s="2">
        <f>SUM(OSRRefP22_9x_0)</f>
        <v>1460.6399999999999</v>
      </c>
      <c r="Q46" s="2"/>
      <c r="R46" s="6">
        <f t="shared" si="4"/>
        <v>6.623133355491459E-2</v>
      </c>
      <c r="S46" s="2"/>
      <c r="T46" s="2">
        <f>SUM(OSRRefT22_9x_0)</f>
        <v>1176.5900000000001</v>
      </c>
      <c r="U46" s="2"/>
      <c r="V46" s="6">
        <f t="shared" si="5"/>
        <v>0</v>
      </c>
      <c r="W46" s="2"/>
      <c r="X46" s="2">
        <f t="shared" si="6"/>
        <v>284.04999999999973</v>
      </c>
      <c r="Y46" s="2"/>
      <c r="Z46" s="6">
        <f t="shared" si="7"/>
        <v>0.24141799607339828</v>
      </c>
    </row>
    <row r="47" spans="1:26" s="69" customFormat="1" ht="15" hidden="1" customHeight="1" outlineLevel="2" x14ac:dyDescent="0.3">
      <c r="A47" s="26"/>
      <c r="B47" s="12" t="str">
        <f>CONCATENATE("          ","6282"," - ","JANITORIAL/EXTERMINATOR EXPENS")</f>
        <v xml:space="preserve">          6282 - JANITORIAL/EXTERMINATOR EXPENS</v>
      </c>
      <c r="C47" s="12"/>
      <c r="D47" s="8">
        <v>151.85</v>
      </c>
      <c r="E47" s="3"/>
      <c r="F47" s="7">
        <f t="shared" si="0"/>
        <v>6.8854940302290639E-3</v>
      </c>
      <c r="G47" s="3"/>
      <c r="H47" s="8">
        <v>141.93</v>
      </c>
      <c r="I47" s="3"/>
      <c r="J47" s="7">
        <f t="shared" si="1"/>
        <v>0</v>
      </c>
      <c r="K47" s="3"/>
      <c r="L47" s="8">
        <f t="shared" si="2"/>
        <v>9.9199999999999875</v>
      </c>
      <c r="M47" s="3"/>
      <c r="N47" s="7">
        <f t="shared" si="3"/>
        <v>6.9893609525822492E-2</v>
      </c>
      <c r="O47" s="12"/>
      <c r="P47" s="8">
        <v>1214.8</v>
      </c>
      <c r="Q47" s="3"/>
      <c r="R47" s="7">
        <f t="shared" si="4"/>
        <v>5.5083952241832511E-2</v>
      </c>
      <c r="S47" s="3"/>
      <c r="T47" s="8">
        <v>1349.63</v>
      </c>
      <c r="U47" s="3"/>
      <c r="V47" s="7">
        <f t="shared" si="5"/>
        <v>0</v>
      </c>
      <c r="W47" s="3"/>
      <c r="X47" s="8">
        <f t="shared" si="6"/>
        <v>-134.83000000000015</v>
      </c>
      <c r="Y47" s="3"/>
      <c r="Z47" s="7">
        <f t="shared" si="7"/>
        <v>-9.9901454472707443E-2</v>
      </c>
    </row>
    <row r="48" spans="1:26" s="69" customFormat="1" ht="15" hidden="1" customHeight="1" outlineLevel="2" x14ac:dyDescent="0.3">
      <c r="A48" s="26"/>
      <c r="B48" s="12" t="str">
        <f>CONCATENATE("          ","6285"," - ","JANITORIAL SERVICES")</f>
        <v xml:space="preserve">          6285 - JANITORIAL SERVICES</v>
      </c>
      <c r="C48" s="12"/>
      <c r="D48" s="8">
        <v>122.92</v>
      </c>
      <c r="E48" s="3"/>
      <c r="F48" s="7">
        <f t="shared" si="0"/>
        <v>5.5736906565410377E-3</v>
      </c>
      <c r="G48" s="3"/>
      <c r="H48" s="8"/>
      <c r="I48" s="3"/>
      <c r="J48" s="7">
        <f t="shared" si="1"/>
        <v>0</v>
      </c>
      <c r="K48" s="3"/>
      <c r="L48" s="8">
        <f t="shared" si="2"/>
        <v>122.92</v>
      </c>
      <c r="M48" s="3"/>
      <c r="N48" s="7">
        <f t="shared" si="3"/>
        <v>0</v>
      </c>
      <c r="O48" s="12"/>
      <c r="P48" s="8">
        <v>245.84</v>
      </c>
      <c r="Q48" s="3"/>
      <c r="R48" s="7">
        <f t="shared" si="4"/>
        <v>1.1147381313082075E-2</v>
      </c>
      <c r="S48" s="3"/>
      <c r="T48" s="8">
        <v>-173.04</v>
      </c>
      <c r="U48" s="3"/>
      <c r="V48" s="7">
        <f t="shared" si="5"/>
        <v>0</v>
      </c>
      <c r="W48" s="3"/>
      <c r="X48" s="8">
        <f t="shared" si="6"/>
        <v>418.88</v>
      </c>
      <c r="Y48" s="3"/>
      <c r="Z48" s="7">
        <f t="shared" si="7"/>
        <v>-2.4207119741100325</v>
      </c>
    </row>
    <row r="49" spans="1:26" s="68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146.28</v>
      </c>
      <c r="E49" s="2"/>
      <c r="F49" s="6">
        <f t="shared" si="0"/>
        <v>6.6329276703451269E-3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146.28</v>
      </c>
      <c r="M49" s="2"/>
      <c r="N49" s="6">
        <f t="shared" si="3"/>
        <v>0</v>
      </c>
      <c r="O49" s="14"/>
      <c r="P49" s="2">
        <f>SUM(OSRRefP22_10x_0)</f>
        <v>208.47</v>
      </c>
      <c r="Q49" s="2"/>
      <c r="R49" s="6">
        <f t="shared" si="4"/>
        <v>9.4528741552970235E-3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208.47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","6241"," - ","OFFICE EXPENSE")</f>
        <v xml:space="preserve">          6241 - OFFICE EXPENSE</v>
      </c>
      <c r="C50" s="12"/>
      <c r="D50" s="8">
        <v>8.82</v>
      </c>
      <c r="E50" s="3"/>
      <c r="F50" s="7">
        <f t="shared" si="0"/>
        <v>3.9993452319144124E-4</v>
      </c>
      <c r="G50" s="3"/>
      <c r="H50" s="8"/>
      <c r="I50" s="3"/>
      <c r="J50" s="7">
        <f t="shared" si="1"/>
        <v>0</v>
      </c>
      <c r="K50" s="3"/>
      <c r="L50" s="8">
        <f t="shared" si="2"/>
        <v>8.82</v>
      </c>
      <c r="M50" s="3"/>
      <c r="N50" s="7">
        <f t="shared" si="3"/>
        <v>0</v>
      </c>
      <c r="O50" s="12"/>
      <c r="P50" s="8">
        <v>11.01</v>
      </c>
      <c r="Q50" s="3"/>
      <c r="R50" s="7">
        <f t="shared" si="4"/>
        <v>4.9923799323557455E-4</v>
      </c>
      <c r="S50" s="3"/>
      <c r="T50" s="8"/>
      <c r="U50" s="3"/>
      <c r="V50" s="7">
        <f t="shared" si="5"/>
        <v>0</v>
      </c>
      <c r="W50" s="3"/>
      <c r="X50" s="8">
        <f t="shared" si="6"/>
        <v>11.01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","6247"," - ","STORE SUPPLIES")</f>
        <v xml:space="preserve">          6247 - STORE SUPPLIES</v>
      </c>
      <c r="C51" s="12"/>
      <c r="D51" s="8">
        <v>137.46</v>
      </c>
      <c r="E51" s="3"/>
      <c r="F51" s="7">
        <f t="shared" si="0"/>
        <v>6.232993147153686E-3</v>
      </c>
      <c r="G51" s="3"/>
      <c r="H51" s="8"/>
      <c r="I51" s="3"/>
      <c r="J51" s="7">
        <f t="shared" si="1"/>
        <v>0</v>
      </c>
      <c r="K51" s="3"/>
      <c r="L51" s="8">
        <f t="shared" si="2"/>
        <v>137.46</v>
      </c>
      <c r="M51" s="3"/>
      <c r="N51" s="7">
        <f t="shared" si="3"/>
        <v>0</v>
      </c>
      <c r="O51" s="12"/>
      <c r="P51" s="8">
        <v>197.46</v>
      </c>
      <c r="Q51" s="3"/>
      <c r="R51" s="7">
        <f t="shared" si="4"/>
        <v>8.9536361620614503E-3</v>
      </c>
      <c r="S51" s="3"/>
      <c r="T51" s="8"/>
      <c r="U51" s="3"/>
      <c r="V51" s="7">
        <f t="shared" si="5"/>
        <v>0</v>
      </c>
      <c r="W51" s="3"/>
      <c r="X51" s="8">
        <f t="shared" si="6"/>
        <v>197.46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1.3603215074538817E-3</v>
      </c>
      <c r="G52" s="2"/>
      <c r="H52" s="2">
        <f>SUM(OSRRefH22_11x_0)</f>
        <v>30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SUM(OSRRefP22_11x_0)</f>
        <v>240</v>
      </c>
      <c r="Q52" s="2"/>
      <c r="R52" s="6">
        <f t="shared" si="4"/>
        <v>1.0882572059631054E-2</v>
      </c>
      <c r="S52" s="2"/>
      <c r="T52" s="2">
        <f>SUM(OSRRefT22_11x_0)</f>
        <v>334.32</v>
      </c>
      <c r="U52" s="2"/>
      <c r="V52" s="6">
        <f t="shared" si="5"/>
        <v>0</v>
      </c>
      <c r="W52" s="2"/>
      <c r="X52" s="2">
        <f t="shared" si="6"/>
        <v>-94.32</v>
      </c>
      <c r="Y52" s="2"/>
      <c r="Z52" s="6">
        <f t="shared" si="7"/>
        <v>-0.28212491026561376</v>
      </c>
    </row>
    <row r="53" spans="1:26" s="69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8">
        <v>30</v>
      </c>
      <c r="E53" s="3"/>
      <c r="F53" s="7">
        <f t="shared" si="0"/>
        <v>1.3603215074538817E-3</v>
      </c>
      <c r="G53" s="3"/>
      <c r="H53" s="8">
        <v>30</v>
      </c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240</v>
      </c>
      <c r="Q53" s="3"/>
      <c r="R53" s="7">
        <f t="shared" si="4"/>
        <v>1.0882572059631054E-2</v>
      </c>
      <c r="S53" s="3"/>
      <c r="T53" s="8">
        <v>334.32</v>
      </c>
      <c r="U53" s="3"/>
      <c r="V53" s="7">
        <f t="shared" si="5"/>
        <v>0</v>
      </c>
      <c r="W53" s="3"/>
      <c r="X53" s="8">
        <f t="shared" si="6"/>
        <v>-94.32</v>
      </c>
      <c r="Y53" s="3"/>
      <c r="Z53" s="7">
        <f t="shared" si="7"/>
        <v>-0.28212491026561376</v>
      </c>
    </row>
    <row r="54" spans="1:26" s="68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120</v>
      </c>
      <c r="E54" s="2"/>
      <c r="F54" s="6">
        <f t="shared" si="0"/>
        <v>5.4412860298155268E-3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120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5.4412860298155268E-3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8">
        <v>120</v>
      </c>
      <c r="E55" s="3"/>
      <c r="F55" s="7">
        <f t="shared" si="0"/>
        <v>5.4412860298155268E-3</v>
      </c>
      <c r="G55" s="3"/>
      <c r="H55" s="8"/>
      <c r="I55" s="3"/>
      <c r="J55" s="7">
        <f t="shared" si="1"/>
        <v>0</v>
      </c>
      <c r="K55" s="3"/>
      <c r="L55" s="8">
        <f t="shared" si="2"/>
        <v>120</v>
      </c>
      <c r="M55" s="3"/>
      <c r="N55" s="7">
        <f t="shared" si="3"/>
        <v>0</v>
      </c>
      <c r="O55" s="12"/>
      <c r="P55" s="8">
        <v>120</v>
      </c>
      <c r="Q55" s="3"/>
      <c r="R55" s="7">
        <f t="shared" si="4"/>
        <v>5.4412860298155268E-3</v>
      </c>
      <c r="S55" s="3"/>
      <c r="T55" s="8"/>
      <c r="U55" s="3"/>
      <c r="V55" s="7">
        <f t="shared" si="5"/>
        <v>0</v>
      </c>
      <c r="W55" s="3"/>
      <c r="X55" s="8">
        <f t="shared" si="6"/>
        <v>120</v>
      </c>
      <c r="Y55" s="3"/>
      <c r="Z55" s="7">
        <f t="shared" si="7"/>
        <v>0</v>
      </c>
    </row>
    <row r="56" spans="1:26" s="64" customFormat="1" ht="15" customHeight="1" x14ac:dyDescent="0.3">
      <c r="A56" s="36"/>
      <c r="B56" s="36"/>
      <c r="C56" s="36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2" customFormat="1" ht="15" customHeight="1" x14ac:dyDescent="0.3">
      <c r="A57" s="11"/>
      <c r="B57" s="27" t="s">
        <v>290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8" t="s">
        <v>291</v>
      </c>
      <c r="C59" s="28"/>
      <c r="D59" s="23">
        <f>+D22-D24+D57</f>
        <v>4515.21</v>
      </c>
      <c r="E59" s="15"/>
      <c r="F59" s="22">
        <f>IF(D$12=0,0,D59/D$12)</f>
        <v>0.20473790912236137</v>
      </c>
      <c r="G59" s="15"/>
      <c r="H59" s="23">
        <f>+H22-H24+H57</f>
        <v>-760.09999999999991</v>
      </c>
      <c r="I59" s="15"/>
      <c r="J59" s="22">
        <f>IF(H$12=0,0,H59/H$12)</f>
        <v>0</v>
      </c>
      <c r="K59" s="17"/>
      <c r="L59" s="23">
        <f>+D59-H59</f>
        <v>5275.3099999999995</v>
      </c>
      <c r="M59" s="17"/>
      <c r="N59" s="22">
        <f>IF(H59=0,0,L59/H59)</f>
        <v>-6.9402841731351144</v>
      </c>
      <c r="O59" s="27"/>
      <c r="P59" s="23">
        <f>+P22-P24+P57</f>
        <v>-5580.8199999999979</v>
      </c>
      <c r="Q59" s="15"/>
      <c r="R59" s="22">
        <f>IF(P$12=0,0,P59/P$12)</f>
        <v>-0.25305698250762565</v>
      </c>
      <c r="S59" s="15"/>
      <c r="T59" s="23">
        <f>+T22-T24+T57</f>
        <v>-7771.1</v>
      </c>
      <c r="U59" s="15"/>
      <c r="V59" s="22">
        <f>IF(T$12=0,0,T59/T$12)</f>
        <v>0</v>
      </c>
      <c r="W59" s="17"/>
      <c r="X59" s="23">
        <f>+P59-T59</f>
        <v>2190.2800000000025</v>
      </c>
      <c r="Y59" s="17"/>
      <c r="Z59" s="22">
        <f>IF(T59=0,0,X59/T59)</f>
        <v>-0.28184941642753308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2" customFormat="1" ht="15" customHeight="1" x14ac:dyDescent="0.3">
      <c r="A61" s="48"/>
      <c r="B61" s="11" t="s">
        <v>292</v>
      </c>
      <c r="C61" s="11"/>
      <c r="D61" s="5">
        <v>2752.79</v>
      </c>
      <c r="E61" s="5"/>
      <c r="F61" s="13">
        <f>IF(D$12=0,0,D61/D$12)</f>
        <v>0.1248226480834657</v>
      </c>
      <c r="G61" s="5"/>
      <c r="H61" s="5"/>
      <c r="I61" s="5"/>
      <c r="J61" s="13">
        <f>IF(H$12=0,0,H61/H$12)</f>
        <v>0</v>
      </c>
      <c r="K61" s="5"/>
      <c r="L61" s="5">
        <f>+D61-H61</f>
        <v>2752.79</v>
      </c>
      <c r="M61" s="5"/>
      <c r="N61" s="13">
        <f>IF(H61=0,0,L61/H61)</f>
        <v>0</v>
      </c>
      <c r="O61" s="11"/>
      <c r="P61" s="5">
        <v>2752.79</v>
      </c>
      <c r="Q61" s="5"/>
      <c r="R61" s="13">
        <f>IF(P$12=0,0,P61/P$12)</f>
        <v>0.1248226480834657</v>
      </c>
      <c r="S61" s="5"/>
      <c r="T61" s="5"/>
      <c r="U61" s="5"/>
      <c r="V61" s="13">
        <f>IF(T$12=0,0,T61/T$12)</f>
        <v>0</v>
      </c>
      <c r="W61" s="5"/>
      <c r="X61" s="5">
        <f>+P61-T61</f>
        <v>2752.79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8" t="s">
        <v>293</v>
      </c>
      <c r="C63" s="28"/>
      <c r="D63" s="33">
        <f>+D59-D61</f>
        <v>1762.42</v>
      </c>
      <c r="E63" s="15"/>
      <c r="F63" s="34">
        <f>IF(D$12=0,0,D63/D$12)</f>
        <v>7.991526103889568E-2</v>
      </c>
      <c r="G63" s="15"/>
      <c r="H63" s="33">
        <f>+H59-H61</f>
        <v>-760.09999999999991</v>
      </c>
      <c r="I63" s="15"/>
      <c r="J63" s="34">
        <f>IF(H$12=0,0,H63/H$12)</f>
        <v>0</v>
      </c>
      <c r="K63" s="17"/>
      <c r="L63" s="33">
        <f>D63-H63</f>
        <v>2522.52</v>
      </c>
      <c r="M63" s="17"/>
      <c r="N63" s="34">
        <f>IF(H63=0,0,L63/H63)</f>
        <v>-3.3186685962373375</v>
      </c>
      <c r="O63" s="27"/>
      <c r="P63" s="33">
        <f>+P59-P61</f>
        <v>-8333.6099999999969</v>
      </c>
      <c r="Q63" s="15"/>
      <c r="R63" s="34">
        <f>IF(P$12=0,0,P63/P$12)</f>
        <v>-0.37787963059109131</v>
      </c>
      <c r="S63" s="15"/>
      <c r="T63" s="33">
        <f>+T59-T61</f>
        <v>-7771.1</v>
      </c>
      <c r="U63" s="15"/>
      <c r="V63" s="34">
        <f>IF(T$12=0,0,T63/T$12)</f>
        <v>0</v>
      </c>
      <c r="W63" s="17"/>
      <c r="X63" s="33">
        <f>P63-T63</f>
        <v>-562.50999999999658</v>
      </c>
      <c r="Y63" s="17"/>
      <c r="Z63" s="34">
        <f>IF(T63=0,0,X63/T63)</f>
        <v>7.2384861859967897E-2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8" t="s">
        <v>296</v>
      </c>
      <c r="C66" s="28"/>
      <c r="D66" s="35">
        <f>SUM(D63:D65)</f>
        <v>1762.42</v>
      </c>
      <c r="E66" s="15"/>
      <c r="F66" s="29">
        <f>IF(D$12=0,0,D66/D$12)</f>
        <v>7.991526103889568E-2</v>
      </c>
      <c r="G66" s="15"/>
      <c r="H66" s="35">
        <f>SUM(H63:H65)</f>
        <v>-760.09999999999991</v>
      </c>
      <c r="I66" s="15"/>
      <c r="J66" s="29">
        <f>IF(H$12=0,0,H66/H$12)</f>
        <v>0</v>
      </c>
      <c r="K66" s="17"/>
      <c r="L66" s="35">
        <f>+D66-H66</f>
        <v>2522.52</v>
      </c>
      <c r="M66" s="17"/>
      <c r="N66" s="29">
        <f>IF(H66=0,0,L66/H66)</f>
        <v>-3.3186685962373375</v>
      </c>
      <c r="O66" s="27"/>
      <c r="P66" s="35">
        <f>SUM(P63:P65)</f>
        <v>-8333.6099999999969</v>
      </c>
      <c r="Q66" s="15"/>
      <c r="R66" s="29">
        <f>IF(P$12=0,0,P66/P$12)</f>
        <v>-0.37787963059109131</v>
      </c>
      <c r="S66" s="15"/>
      <c r="T66" s="35">
        <f>SUM(T63:T65)</f>
        <v>-7771.1</v>
      </c>
      <c r="U66" s="15"/>
      <c r="V66" s="29">
        <f>IF(T$12=0,0,T66/T$12)</f>
        <v>0</v>
      </c>
      <c r="W66" s="17"/>
      <c r="X66" s="35">
        <f>+P66-T66</f>
        <v>-562.50999999999658</v>
      </c>
      <c r="Y66" s="17"/>
      <c r="Z66" s="29">
        <f>IF(T66=0,0,X66/T66)</f>
        <v>7.2384861859967897E-2</v>
      </c>
    </row>
    <row r="67" spans="1:26" ht="15" customHeight="1" x14ac:dyDescent="0.3">
      <c r="A67" s="10"/>
      <c r="C67" s="10"/>
      <c r="D67" s="18"/>
      <c r="E67" s="18"/>
      <c r="G67" s="18"/>
      <c r="H67" s="18"/>
      <c r="I67" s="18"/>
      <c r="J67" s="41"/>
      <c r="K67" s="18"/>
      <c r="L67" s="18"/>
      <c r="M67" s="18"/>
      <c r="P67" s="18"/>
      <c r="Q67" s="18"/>
      <c r="R67" s="41"/>
      <c r="S67" s="18"/>
      <c r="T67" s="18"/>
      <c r="U67" s="18"/>
      <c r="V67" s="41"/>
      <c r="W67" s="18"/>
      <c r="X67" s="18"/>
    </row>
    <row r="68" spans="1:26" ht="15" customHeight="1" x14ac:dyDescent="0.3">
      <c r="A68" s="10"/>
      <c r="B68" s="50">
        <v>44634.887810300927</v>
      </c>
      <c r="D68" s="18"/>
      <c r="E68" s="18"/>
      <c r="G68" s="18"/>
      <c r="H68" s="18"/>
      <c r="I68" s="18"/>
      <c r="J68" s="41"/>
      <c r="K68" s="18"/>
      <c r="L68" s="18"/>
      <c r="M68" s="18"/>
      <c r="P68" s="18"/>
      <c r="Q68" s="18"/>
      <c r="R68" s="41"/>
      <c r="S68" s="18"/>
      <c r="T68" s="18"/>
      <c r="U68" s="18"/>
      <c r="V68" s="41"/>
      <c r="W68" s="18"/>
      <c r="X68" s="18"/>
    </row>
    <row r="69" spans="1:26" ht="15" customHeight="1" x14ac:dyDescent="0.3">
      <c r="A69" s="10"/>
      <c r="B69" s="58" t="s">
        <v>297</v>
      </c>
      <c r="D69" s="18"/>
      <c r="E69" s="18"/>
      <c r="G69" s="18"/>
      <c r="H69" s="18"/>
      <c r="I69" s="18"/>
      <c r="J69" s="41"/>
      <c r="K69" s="18"/>
      <c r="L69" s="18"/>
      <c r="M69" s="18"/>
      <c r="P69" s="18"/>
      <c r="Q69" s="18"/>
      <c r="R69" s="41"/>
      <c r="S69" s="18"/>
      <c r="T69" s="18"/>
      <c r="U69" s="18"/>
      <c r="V69" s="41"/>
      <c r="W69" s="18"/>
      <c r="X69" s="18"/>
    </row>
    <row r="70" spans="1:26" ht="15" customHeight="1" x14ac:dyDescent="0.3">
      <c r="A70" s="10"/>
      <c r="B70" s="56"/>
      <c r="D70" s="18"/>
      <c r="E70" s="18"/>
      <c r="G70" s="18"/>
      <c r="H70" s="18"/>
      <c r="I70" s="18"/>
      <c r="J70" s="41"/>
      <c r="K70" s="18"/>
      <c r="L70" s="18"/>
      <c r="M70" s="18"/>
      <c r="P70" s="18"/>
      <c r="Q70" s="18"/>
      <c r="R70" s="41"/>
      <c r="S70" s="18"/>
      <c r="T70" s="18"/>
      <c r="U70" s="18"/>
      <c r="V70" s="41"/>
      <c r="W70" s="18"/>
      <c r="X70" s="18"/>
    </row>
    <row r="71" spans="1:26" ht="15" customHeight="1" x14ac:dyDescent="0.3">
      <c r="D71" s="18"/>
      <c r="E71" s="18"/>
      <c r="G71" s="18"/>
      <c r="H71" s="18"/>
      <c r="I71" s="18"/>
      <c r="J71" s="41"/>
      <c r="K71" s="18"/>
      <c r="L71" s="18"/>
      <c r="M71" s="18"/>
      <c r="P71" s="18"/>
      <c r="Q71" s="18"/>
      <c r="R71" s="41"/>
      <c r="S71" s="18"/>
      <c r="T71" s="18"/>
      <c r="U71" s="18"/>
      <c r="V71" s="41"/>
      <c r="W71" s="18"/>
      <c r="X71" s="18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C97F6-986E-F359-EDED-3E6791707478}">
  <sheetPr>
    <tabColor rgb="FF92D050"/>
    <outlinePr summaryBelow="0" summaryRight="0"/>
  </sheetPr>
  <dimension ref="A2:Z6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","313"," - ","Convenience Store")</f>
        <v>Department 313 - Convenience Store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","4034"," - ","TAXABLE SALES-SODA")</f>
        <v xml:space="preserve">          4034 - TAXABLE SALES-SODA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0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","4132"," - ","NON-TAXABLE SALES-JUICE")</f>
        <v xml:space="preserve">          4132 - NON-TAXABLE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0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","4134"," - ","NON-TAXABLE SALES-SODA")</f>
        <v xml:space="preserve">          4134 - NON-TAXABLE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","4137"," - ","NON-TAXABLE SALES-WATER")</f>
        <v xml:space="preserve">          4137 - NON-TAXABLE SALES-WATER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0</v>
      </c>
      <c r="E18" s="5"/>
      <c r="F18" s="13">
        <f>IF(D$12=0,0,D18/D$12)</f>
        <v>0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0</v>
      </c>
      <c r="M18" s="5"/>
      <c r="N18" s="13">
        <f>IF(H18=0,0,L18/H18)</f>
        <v>0</v>
      </c>
      <c r="O18" s="11"/>
      <c r="P18" s="5">
        <f>SUM(OSRRefP16x_0)</f>
        <v>0</v>
      </c>
      <c r="Q18" s="5"/>
      <c r="R18" s="13">
        <f>IF(P$12=0,0,P18/P$12)</f>
        <v>0</v>
      </c>
      <c r="S18" s="5"/>
      <c r="T18" s="5">
        <f>SUM(OSRRefT16x_0)</f>
        <v>-613.59</v>
      </c>
      <c r="U18" s="5"/>
      <c r="V18" s="13">
        <f>IF(T$12=0,0,T18/T$12)</f>
        <v>0</v>
      </c>
      <c r="W18" s="5"/>
      <c r="X18" s="5">
        <f>+P18-T18</f>
        <v>613.59</v>
      </c>
      <c r="Y18" s="5"/>
      <c r="Z18" s="13">
        <f>IF(T18=0,0,X18/T18)</f>
        <v>-1</v>
      </c>
    </row>
    <row r="19" spans="1:26" s="69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/>
      <c r="Q19" s="3"/>
      <c r="R19" s="20">
        <f>IF(P$12=0,0,P19/P$12)</f>
        <v>0</v>
      </c>
      <c r="S19" s="3"/>
      <c r="T19" s="3">
        <v>-613.59</v>
      </c>
      <c r="U19" s="3"/>
      <c r="V19" s="20">
        <f>IF(T$12=0,0,T19/T$12)</f>
        <v>0</v>
      </c>
      <c r="W19" s="3"/>
      <c r="X19" s="3">
        <f>+P19-T19</f>
        <v>613.59</v>
      </c>
      <c r="Y19" s="3"/>
      <c r="Z19" s="20">
        <f>IF(T19=0,0,X19/T19)</f>
        <v>-1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3">
        <f>D12-D18</f>
        <v>0</v>
      </c>
      <c r="E21" s="15"/>
      <c r="F21" s="22">
        <f>IF(D$12=0,0,D21/D$12)</f>
        <v>0</v>
      </c>
      <c r="G21" s="15"/>
      <c r="H21" s="23">
        <f>H12-H18</f>
        <v>0</v>
      </c>
      <c r="I21" s="15"/>
      <c r="J21" s="22">
        <f>IF(H$12=0,0,H21/H$12)</f>
        <v>0</v>
      </c>
      <c r="K21" s="17"/>
      <c r="L21" s="23">
        <f>+D21-H21</f>
        <v>0</v>
      </c>
      <c r="M21" s="17"/>
      <c r="N21" s="22">
        <f>IF(H21=0,0,L21/H21)</f>
        <v>0</v>
      </c>
      <c r="O21" s="27"/>
      <c r="P21" s="23">
        <f>P12-P18</f>
        <v>0</v>
      </c>
      <c r="Q21" s="15"/>
      <c r="R21" s="22">
        <f>IF(P$12=0,0,P21/P$12)</f>
        <v>0</v>
      </c>
      <c r="S21" s="15"/>
      <c r="T21" s="23">
        <f>T12-T18</f>
        <v>613.59</v>
      </c>
      <c r="U21" s="15"/>
      <c r="V21" s="22">
        <f>IF(T$12=0,0,T21/T$12)</f>
        <v>0</v>
      </c>
      <c r="W21" s="17"/>
      <c r="X21" s="23">
        <f>+P21-T21</f>
        <v>-613.59</v>
      </c>
      <c r="Y21" s="17"/>
      <c r="Z21" s="22">
        <f>IF(T21=0,0,X21/T21)</f>
        <v>-1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1" cm="1">
        <f t="array" ref="D23">SUM(OSRRefD22x_0)</f>
        <v>0</v>
      </c>
      <c r="E23" s="21"/>
      <c r="F23" s="30">
        <f t="shared" ref="F23:F46" si="0">IF(D$12=0,0,D23/D$12)</f>
        <v>0</v>
      </c>
      <c r="G23" s="21"/>
      <c r="H23" s="21" cm="1">
        <f t="array" ref="H23">SUM(OSRRefH22x_0)</f>
        <v>162.61000000000001</v>
      </c>
      <c r="I23" s="21"/>
      <c r="J23" s="30">
        <f t="shared" ref="J23:J46" si="1">IF(H$12=0,0,H23/H$12)</f>
        <v>0</v>
      </c>
      <c r="K23" s="5"/>
      <c r="L23" s="21">
        <f t="shared" ref="L23:L46" si="2">+D23-H23</f>
        <v>-162.61000000000001</v>
      </c>
      <c r="M23" s="5"/>
      <c r="N23" s="30">
        <f t="shared" ref="N23:N46" si="3">IF(H23=0,0,L23/H23)</f>
        <v>-1</v>
      </c>
      <c r="O23" s="11"/>
      <c r="P23" s="21" cm="1">
        <f t="array" ref="P23">SUM(OSRRefP22x_0)</f>
        <v>0</v>
      </c>
      <c r="Q23" s="21"/>
      <c r="R23" s="30">
        <f t="shared" ref="R23:R46" si="4">IF(P$12=0,0,P23/P$12)</f>
        <v>0</v>
      </c>
      <c r="S23" s="21"/>
      <c r="T23" s="21" cm="1">
        <f t="array" ref="T23">SUM(OSRRefT22x_0)</f>
        <v>46504.68</v>
      </c>
      <c r="U23" s="21"/>
      <c r="V23" s="30">
        <f t="shared" ref="V23:V46" si="5">IF(T$12=0,0,T23/T$12)</f>
        <v>0</v>
      </c>
      <c r="W23" s="5"/>
      <c r="X23" s="21">
        <f t="shared" ref="X23:X46" si="6">+P23-T23</f>
        <v>-46504.68</v>
      </c>
      <c r="Y23" s="5"/>
      <c r="Z23" s="30">
        <f t="shared" ref="Z23:Z46" si="7">IF(T23=0,0,X23/T23)</f>
        <v>-1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0</v>
      </c>
      <c r="E24" s="2"/>
      <c r="F24" s="6">
        <f t="shared" si="0"/>
        <v>0</v>
      </c>
      <c r="G24" s="2"/>
      <c r="H24" s="2">
        <f>SUM(OSRRefH22_0x_0)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SUM(OSRRefP22_0x_0)</f>
        <v>0</v>
      </c>
      <c r="Q24" s="2"/>
      <c r="R24" s="6">
        <f t="shared" si="4"/>
        <v>0</v>
      </c>
      <c r="S24" s="2"/>
      <c r="T24" s="2">
        <f>SUM(OSRRefT22_0x_0)</f>
        <v>21787.579999999998</v>
      </c>
      <c r="U24" s="2"/>
      <c r="V24" s="6">
        <f t="shared" si="5"/>
        <v>0</v>
      </c>
      <c r="W24" s="2"/>
      <c r="X24" s="2">
        <f t="shared" si="6"/>
        <v>-21787.579999999998</v>
      </c>
      <c r="Y24" s="2"/>
      <c r="Z24" s="6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1924.35</v>
      </c>
      <c r="U25" s="3"/>
      <c r="V25" s="7">
        <f t="shared" si="5"/>
        <v>0</v>
      </c>
      <c r="W25" s="3"/>
      <c r="X25" s="8">
        <f t="shared" si="6"/>
        <v>-1924.35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499.06</v>
      </c>
      <c r="U26" s="3"/>
      <c r="V26" s="7">
        <f t="shared" si="5"/>
        <v>0</v>
      </c>
      <c r="W26" s="3"/>
      <c r="X26" s="8">
        <f t="shared" si="6"/>
        <v>-499.06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12083.19</v>
      </c>
      <c r="U27" s="3"/>
      <c r="V27" s="7">
        <f t="shared" si="5"/>
        <v>0</v>
      </c>
      <c r="W27" s="3"/>
      <c r="X27" s="8">
        <f t="shared" si="6"/>
        <v>-12083.19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70.14</v>
      </c>
      <c r="U28" s="3"/>
      <c r="V28" s="7">
        <f t="shared" si="5"/>
        <v>0</v>
      </c>
      <c r="W28" s="3"/>
      <c r="X28" s="8">
        <f t="shared" si="6"/>
        <v>-70.14</v>
      </c>
      <c r="Y28" s="3"/>
      <c r="Z28" s="7">
        <f t="shared" si="7"/>
        <v>-1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/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3490.92</v>
      </c>
      <c r="U29" s="3"/>
      <c r="V29" s="7">
        <f t="shared" si="5"/>
        <v>0</v>
      </c>
      <c r="W29" s="3"/>
      <c r="X29" s="8">
        <f t="shared" si="6"/>
        <v>-3490.92</v>
      </c>
      <c r="Y29" s="3"/>
      <c r="Z29" s="7">
        <f t="shared" si="7"/>
        <v>-1</v>
      </c>
    </row>
    <row r="30" spans="1:26" s="69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2035.3</v>
      </c>
      <c r="U30" s="3"/>
      <c r="V30" s="7">
        <f t="shared" si="5"/>
        <v>0</v>
      </c>
      <c r="W30" s="3"/>
      <c r="X30" s="8">
        <f t="shared" si="6"/>
        <v>-2035.3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1283.8</v>
      </c>
      <c r="U31" s="3"/>
      <c r="V31" s="7">
        <f t="shared" si="5"/>
        <v>0</v>
      </c>
      <c r="W31" s="3"/>
      <c r="X31" s="8">
        <f t="shared" si="6"/>
        <v>-1283.8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400.82</v>
      </c>
      <c r="U32" s="3"/>
      <c r="V32" s="7">
        <f t="shared" si="5"/>
        <v>0</v>
      </c>
      <c r="W32" s="3"/>
      <c r="X32" s="8">
        <f t="shared" si="6"/>
        <v>-400.82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0</v>
      </c>
      <c r="E33" s="2"/>
      <c r="F33" s="6">
        <f t="shared" si="0"/>
        <v>0</v>
      </c>
      <c r="G33" s="2"/>
      <c r="H33" s="2">
        <f>SUM(OSRRefH22_1x_0)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SUM(OSRRefP22_1x_0)</f>
        <v>0</v>
      </c>
      <c r="Q33" s="2"/>
      <c r="R33" s="6">
        <f t="shared" si="4"/>
        <v>0</v>
      </c>
      <c r="S33" s="2"/>
      <c r="T33" s="2">
        <f>SUM(OSRRefT22_1x_0)</f>
        <v>23136.42</v>
      </c>
      <c r="U33" s="2"/>
      <c r="V33" s="6">
        <f t="shared" si="5"/>
        <v>0</v>
      </c>
      <c r="W33" s="2"/>
      <c r="X33" s="2">
        <f t="shared" si="6"/>
        <v>-23136.42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","6002"," - ","STAFF SALARIES")</f>
        <v xml:space="preserve">          6002 - STAFF SALARIES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23136.42</v>
      </c>
      <c r="U34" s="3"/>
      <c r="V34" s="7">
        <f t="shared" si="5"/>
        <v>0</v>
      </c>
      <c r="W34" s="3"/>
      <c r="X34" s="8">
        <f t="shared" si="6"/>
        <v>-23136.42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SUM(OSRRefD22_2x_0)</f>
        <v>0</v>
      </c>
      <c r="E35" s="2"/>
      <c r="F35" s="6">
        <f t="shared" si="0"/>
        <v>0</v>
      </c>
      <c r="G35" s="2"/>
      <c r="H35" s="2">
        <f>SUM(OSRRefH22_2x_0)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SUM(OSRRefP22_2x_0)</f>
        <v>0</v>
      </c>
      <c r="Q35" s="2"/>
      <c r="R35" s="6">
        <f t="shared" si="4"/>
        <v>0</v>
      </c>
      <c r="S35" s="2"/>
      <c r="T35" s="2">
        <f>SUM(OSRRefT22_2x_0)</f>
        <v>240</v>
      </c>
      <c r="U35" s="2"/>
      <c r="V35" s="6">
        <f t="shared" si="5"/>
        <v>0</v>
      </c>
      <c r="W35" s="2"/>
      <c r="X35" s="2">
        <f t="shared" si="6"/>
        <v>-240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240</v>
      </c>
      <c r="U36" s="3"/>
      <c r="V36" s="7">
        <f t="shared" si="5"/>
        <v>0</v>
      </c>
      <c r="W36" s="3"/>
      <c r="X36" s="8">
        <f t="shared" si="6"/>
        <v>-240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","Freight out/Postage                               ")</f>
        <v xml:space="preserve">     Freight out/Postage                               </v>
      </c>
      <c r="C37" s="14"/>
      <c r="D37" s="2">
        <f>SUM(OSRRefD22_3x_0)</f>
        <v>0</v>
      </c>
      <c r="E37" s="2"/>
      <c r="F37" s="6">
        <f t="shared" si="0"/>
        <v>0</v>
      </c>
      <c r="G37" s="2"/>
      <c r="H37" s="2">
        <f>SUM(OSRRefH22_3x_0)</f>
        <v>90.46</v>
      </c>
      <c r="I37" s="2"/>
      <c r="J37" s="6">
        <f t="shared" si="1"/>
        <v>0</v>
      </c>
      <c r="K37" s="2"/>
      <c r="L37" s="2">
        <f t="shared" si="2"/>
        <v>-90.46</v>
      </c>
      <c r="M37" s="2"/>
      <c r="N37" s="6">
        <f t="shared" si="3"/>
        <v>-1</v>
      </c>
      <c r="O37" s="14"/>
      <c r="P37" s="2">
        <f>SUM(OSRRefP22_3x_0)</f>
        <v>0</v>
      </c>
      <c r="Q37" s="2"/>
      <c r="R37" s="6">
        <f t="shared" si="4"/>
        <v>0</v>
      </c>
      <c r="S37" s="2"/>
      <c r="T37" s="2">
        <f>SUM(OSRRefT22_3x_0)</f>
        <v>207.89</v>
      </c>
      <c r="U37" s="2"/>
      <c r="V37" s="6">
        <f t="shared" si="5"/>
        <v>0</v>
      </c>
      <c r="W37" s="2"/>
      <c r="X37" s="2">
        <f t="shared" si="6"/>
        <v>-207.89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","6305"," - ","FREIGHT OUT")</f>
        <v xml:space="preserve">          6305 - FREIGHT OUT</v>
      </c>
      <c r="C38" s="12"/>
      <c r="D38" s="8"/>
      <c r="E38" s="3"/>
      <c r="F38" s="7">
        <f t="shared" si="0"/>
        <v>0</v>
      </c>
      <c r="G38" s="3"/>
      <c r="H38" s="8">
        <v>90.46</v>
      </c>
      <c r="I38" s="3"/>
      <c r="J38" s="7">
        <f t="shared" si="1"/>
        <v>0</v>
      </c>
      <c r="K38" s="3"/>
      <c r="L38" s="8">
        <f t="shared" si="2"/>
        <v>-90.46</v>
      </c>
      <c r="M38" s="3"/>
      <c r="N38" s="7">
        <f t="shared" si="3"/>
        <v>-1</v>
      </c>
      <c r="O38" s="12"/>
      <c r="P38" s="8"/>
      <c r="Q38" s="3"/>
      <c r="R38" s="7">
        <f t="shared" si="4"/>
        <v>0</v>
      </c>
      <c r="S38" s="3"/>
      <c r="T38" s="8">
        <v>207.89</v>
      </c>
      <c r="U38" s="3"/>
      <c r="V38" s="7">
        <f t="shared" si="5"/>
        <v>0</v>
      </c>
      <c r="W38" s="3"/>
      <c r="X38" s="8">
        <f t="shared" si="6"/>
        <v>-207.89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5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0</v>
      </c>
      <c r="Q39" s="2"/>
      <c r="R39" s="6">
        <f t="shared" si="4"/>
        <v>0</v>
      </c>
      <c r="S39" s="2"/>
      <c r="T39" s="2">
        <f>SUM(OSRRefT22_4x_0)</f>
        <v>160</v>
      </c>
      <c r="U39" s="2"/>
      <c r="V39" s="6">
        <f t="shared" si="5"/>
        <v>0</v>
      </c>
      <c r="W39" s="2"/>
      <c r="X39" s="2">
        <f t="shared" si="6"/>
        <v>-160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","6279"," - ","GENERAL EXPENSE")</f>
        <v xml:space="preserve">          6279 - GENERAL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160</v>
      </c>
      <c r="U40" s="3"/>
      <c r="V40" s="7">
        <f t="shared" si="5"/>
        <v>0</v>
      </c>
      <c r="W40" s="3"/>
      <c r="X40" s="8">
        <f t="shared" si="6"/>
        <v>-160</v>
      </c>
      <c r="Y40" s="3"/>
      <c r="Z40" s="7">
        <f t="shared" si="7"/>
        <v>-1</v>
      </c>
    </row>
    <row r="41" spans="1:26" s="68" customFormat="1" ht="15" customHeight="1" outlineLevel="1" collapsed="1" x14ac:dyDescent="0.3">
      <c r="A41" s="25"/>
      <c r="B41" s="14" t="str">
        <f>CONCATENATE("     ","Repair and Maintenance                            ")</f>
        <v xml:space="preserve">     Repair and Maintenance 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0</v>
      </c>
      <c r="Q41" s="2"/>
      <c r="R41" s="6">
        <f t="shared" si="4"/>
        <v>0</v>
      </c>
      <c r="S41" s="2"/>
      <c r="T41" s="2">
        <f>SUM(OSRRefT22_5x_0)</f>
        <v>48.24</v>
      </c>
      <c r="U41" s="2"/>
      <c r="V41" s="6">
        <f t="shared" si="5"/>
        <v>0</v>
      </c>
      <c r="W41" s="2"/>
      <c r="X41" s="2">
        <f t="shared" si="6"/>
        <v>-48.24</v>
      </c>
      <c r="Y41" s="2"/>
      <c r="Z41" s="6">
        <f t="shared" si="7"/>
        <v>-1</v>
      </c>
    </row>
    <row r="42" spans="1:26" s="69" customFormat="1" ht="15" hidden="1" customHeight="1" outlineLevel="2" x14ac:dyDescent="0.3">
      <c r="A42" s="26"/>
      <c r="B42" s="12" t="str">
        <f>CONCATENATE("          ","6373"," - ","MAINTENANCE CONTRACTS")</f>
        <v xml:space="preserve">          6373 - MAINTENANCE CONTRACTS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</v>
      </c>
      <c r="Q42" s="3"/>
      <c r="R42" s="7">
        <f t="shared" si="4"/>
        <v>0</v>
      </c>
      <c r="S42" s="3"/>
      <c r="T42" s="8">
        <v>48.24</v>
      </c>
      <c r="U42" s="3"/>
      <c r="V42" s="7">
        <f t="shared" si="5"/>
        <v>0</v>
      </c>
      <c r="W42" s="3"/>
      <c r="X42" s="8">
        <f t="shared" si="6"/>
        <v>-48.24</v>
      </c>
      <c r="Y42" s="3"/>
      <c r="Z42" s="7">
        <f t="shared" si="7"/>
        <v>-1</v>
      </c>
    </row>
    <row r="43" spans="1:26" s="68" customFormat="1" ht="15" customHeight="1" outlineLevel="1" collapsed="1" x14ac:dyDescent="0.3">
      <c r="A43" s="25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0</v>
      </c>
      <c r="U43" s="2"/>
      <c r="V43" s="6">
        <f t="shared" si="5"/>
        <v>0</v>
      </c>
      <c r="W43" s="2"/>
      <c r="X43" s="2">
        <f t="shared" si="6"/>
        <v>0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","6247"," - ","STORE SUPPLIES")</f>
        <v xml:space="preserve">          6247 - STORE SUPPLIES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0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5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72.150000000000006</v>
      </c>
      <c r="I45" s="2"/>
      <c r="J45" s="6">
        <f t="shared" si="1"/>
        <v>0</v>
      </c>
      <c r="K45" s="2"/>
      <c r="L45" s="2">
        <f t="shared" si="2"/>
        <v>-72.150000000000006</v>
      </c>
      <c r="M45" s="2"/>
      <c r="N45" s="6">
        <f t="shared" si="3"/>
        <v>-1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924.55</v>
      </c>
      <c r="U45" s="2"/>
      <c r="V45" s="6">
        <f t="shared" si="5"/>
        <v>0</v>
      </c>
      <c r="W45" s="2"/>
      <c r="X45" s="2">
        <f t="shared" si="6"/>
        <v>-924.55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6"/>
      <c r="B46" s="12" t="str">
        <f>CONCATENATE("          ","6309"," - ","TELEPHONE")</f>
        <v xml:space="preserve">          6309 - TELEPHONE</v>
      </c>
      <c r="C46" s="12"/>
      <c r="D46" s="8"/>
      <c r="E46" s="3"/>
      <c r="F46" s="7">
        <f t="shared" si="0"/>
        <v>0</v>
      </c>
      <c r="G46" s="3"/>
      <c r="H46" s="8">
        <v>72.150000000000006</v>
      </c>
      <c r="I46" s="3"/>
      <c r="J46" s="7">
        <f t="shared" si="1"/>
        <v>0</v>
      </c>
      <c r="K46" s="3"/>
      <c r="L46" s="8">
        <f t="shared" si="2"/>
        <v>-72.150000000000006</v>
      </c>
      <c r="M46" s="3"/>
      <c r="N46" s="7">
        <f t="shared" si="3"/>
        <v>-1</v>
      </c>
      <c r="O46" s="12"/>
      <c r="P46" s="8">
        <v>0</v>
      </c>
      <c r="Q46" s="3"/>
      <c r="R46" s="7">
        <f t="shared" si="4"/>
        <v>0</v>
      </c>
      <c r="S46" s="3"/>
      <c r="T46" s="8">
        <v>924.55</v>
      </c>
      <c r="U46" s="3"/>
      <c r="V46" s="7">
        <f t="shared" si="5"/>
        <v>0</v>
      </c>
      <c r="W46" s="3"/>
      <c r="X46" s="8">
        <f t="shared" si="6"/>
        <v>-924.55</v>
      </c>
      <c r="Y46" s="3"/>
      <c r="Z46" s="7">
        <f t="shared" si="7"/>
        <v>-1</v>
      </c>
    </row>
    <row r="47" spans="1:26" s="64" customFormat="1" ht="15" customHeight="1" x14ac:dyDescent="0.3">
      <c r="A47" s="36"/>
      <c r="B47" s="36"/>
      <c r="C47" s="36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2" customFormat="1" ht="15" customHeight="1" x14ac:dyDescent="0.3">
      <c r="A48" s="11"/>
      <c r="B48" s="27" t="s">
        <v>290</v>
      </c>
      <c r="C48" s="11"/>
      <c r="D48" s="5">
        <f>SUM(0)</f>
        <v>0</v>
      </c>
      <c r="E48" s="5"/>
      <c r="F48" s="13">
        <f>IF(D$12=0,0,D48/D$12)</f>
        <v>0</v>
      </c>
      <c r="G48" s="5"/>
      <c r="H48" s="5">
        <f>SUM(0)</f>
        <v>0</v>
      </c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>
        <f>SUM(0)</f>
        <v>0</v>
      </c>
      <c r="Q48" s="5"/>
      <c r="R48" s="13">
        <f>IF(P$12=0,0,P48/P$12)</f>
        <v>0</v>
      </c>
      <c r="S48" s="5"/>
      <c r="T48" s="5">
        <f>SUM(0)</f>
        <v>0</v>
      </c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291</v>
      </c>
      <c r="C50" s="28"/>
      <c r="D50" s="23">
        <f>+D21-D23+D48</f>
        <v>0</v>
      </c>
      <c r="E50" s="15"/>
      <c r="F50" s="22">
        <f>IF(D$12=0,0,D50/D$12)</f>
        <v>0</v>
      </c>
      <c r="G50" s="15"/>
      <c r="H50" s="23">
        <f>+H21-H23+H48</f>
        <v>-162.61000000000001</v>
      </c>
      <c r="I50" s="15"/>
      <c r="J50" s="22">
        <f>IF(H$12=0,0,H50/H$12)</f>
        <v>0</v>
      </c>
      <c r="K50" s="17"/>
      <c r="L50" s="23">
        <f>+D50-H50</f>
        <v>162.61000000000001</v>
      </c>
      <c r="M50" s="17"/>
      <c r="N50" s="22">
        <f>IF(H50=0,0,L50/H50)</f>
        <v>-1</v>
      </c>
      <c r="O50" s="27"/>
      <c r="P50" s="23">
        <f>+P21-P23+P48</f>
        <v>0</v>
      </c>
      <c r="Q50" s="15"/>
      <c r="R50" s="22">
        <f>IF(P$12=0,0,P50/P$12)</f>
        <v>0</v>
      </c>
      <c r="S50" s="15"/>
      <c r="T50" s="23">
        <f>+T21-T23+T48</f>
        <v>-45891.090000000004</v>
      </c>
      <c r="U50" s="15"/>
      <c r="V50" s="22">
        <f>IF(T$12=0,0,T50/T$12)</f>
        <v>0</v>
      </c>
      <c r="W50" s="17"/>
      <c r="X50" s="23">
        <f>+P50-T50</f>
        <v>45891.090000000004</v>
      </c>
      <c r="Y50" s="17"/>
      <c r="Z50" s="22">
        <f>IF(T50=0,0,X50/T50)</f>
        <v>-1</v>
      </c>
    </row>
    <row r="51" spans="1:26" ht="15" customHeight="1" x14ac:dyDescent="0.3">
      <c r="A51" s="10"/>
      <c r="B51" s="11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48"/>
      <c r="B52" s="11" t="s">
        <v>292</v>
      </c>
      <c r="C52" s="11"/>
      <c r="D52" s="5"/>
      <c r="E52" s="5"/>
      <c r="F52" s="13">
        <f>IF(D$12=0,0,D52/D$12)</f>
        <v>0</v>
      </c>
      <c r="G52" s="5"/>
      <c r="H52" s="5"/>
      <c r="I52" s="5"/>
      <c r="J52" s="13">
        <f>IF(H$12=0,0,H52/H$12)</f>
        <v>0</v>
      </c>
      <c r="K52" s="5"/>
      <c r="L52" s="5">
        <f>+D52-H52</f>
        <v>0</v>
      </c>
      <c r="M52" s="5"/>
      <c r="N52" s="13">
        <f>IF(H52=0,0,L52/H52)</f>
        <v>0</v>
      </c>
      <c r="O52" s="11"/>
      <c r="P52" s="5"/>
      <c r="Q52" s="5"/>
      <c r="R52" s="13">
        <f>IF(P$12=0,0,P52/P$12)</f>
        <v>0</v>
      </c>
      <c r="S52" s="5"/>
      <c r="T52" s="5"/>
      <c r="U52" s="5"/>
      <c r="V52" s="13">
        <f>IF(T$12=0,0,T52/T$12)</f>
        <v>0</v>
      </c>
      <c r="W52" s="5"/>
      <c r="X52" s="5">
        <f>+P52-T52</f>
        <v>0</v>
      </c>
      <c r="Y52" s="5"/>
      <c r="Z52" s="13">
        <f>IF(T52=0,0,X52/T52)</f>
        <v>0</v>
      </c>
    </row>
    <row r="53" spans="1:26" ht="15" customHeight="1" x14ac:dyDescent="0.3">
      <c r="A53" s="10"/>
      <c r="B53" s="11"/>
      <c r="C53" s="11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O53" s="11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8" t="s">
        <v>293</v>
      </c>
      <c r="C54" s="28"/>
      <c r="D54" s="33">
        <f>+D50-D52</f>
        <v>0</v>
      </c>
      <c r="E54" s="15"/>
      <c r="F54" s="34">
        <f>IF(D$12=0,0,D54/D$12)</f>
        <v>0</v>
      </c>
      <c r="G54" s="15"/>
      <c r="H54" s="33">
        <f>+H50-H52</f>
        <v>-162.61000000000001</v>
      </c>
      <c r="I54" s="15"/>
      <c r="J54" s="34">
        <f>IF(H$12=0,0,H54/H$12)</f>
        <v>0</v>
      </c>
      <c r="K54" s="17"/>
      <c r="L54" s="33">
        <f>D54-H54</f>
        <v>162.61000000000001</v>
      </c>
      <c r="M54" s="17"/>
      <c r="N54" s="34">
        <f>IF(H54=0,0,L54/H54)</f>
        <v>-1</v>
      </c>
      <c r="O54" s="27"/>
      <c r="P54" s="33">
        <f>+P50-P52</f>
        <v>0</v>
      </c>
      <c r="Q54" s="15"/>
      <c r="R54" s="34">
        <f>IF(P$12=0,0,P54/P$12)</f>
        <v>0</v>
      </c>
      <c r="S54" s="15"/>
      <c r="T54" s="33">
        <f>+T50-T52</f>
        <v>-45891.090000000004</v>
      </c>
      <c r="U54" s="15"/>
      <c r="V54" s="34">
        <f>IF(T$12=0,0,T54/T$12)</f>
        <v>0</v>
      </c>
      <c r="W54" s="17"/>
      <c r="X54" s="33">
        <f>P54-T54</f>
        <v>45891.090000000004</v>
      </c>
      <c r="Y54" s="17"/>
      <c r="Z54" s="34">
        <f>IF(T54=0,0,X54/T54)</f>
        <v>-1</v>
      </c>
    </row>
    <row r="55" spans="1:26" ht="15" customHeight="1" x14ac:dyDescent="0.3">
      <c r="A55" s="10"/>
      <c r="B55" s="10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ht="15" customHeight="1" x14ac:dyDescent="0.3">
      <c r="A56" s="10"/>
      <c r="B56" s="10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x14ac:dyDescent="0.3">
      <c r="A57" s="11"/>
      <c r="B57" s="28" t="s">
        <v>296</v>
      </c>
      <c r="C57" s="28"/>
      <c r="D57" s="35">
        <f>SUM(D54:D56)</f>
        <v>0</v>
      </c>
      <c r="E57" s="15"/>
      <c r="F57" s="29">
        <f>IF(D$12=0,0,D57/D$12)</f>
        <v>0</v>
      </c>
      <c r="G57" s="15"/>
      <c r="H57" s="35">
        <f>SUM(H54:H56)</f>
        <v>-162.61000000000001</v>
      </c>
      <c r="I57" s="15"/>
      <c r="J57" s="29">
        <f>IF(H$12=0,0,H57/H$12)</f>
        <v>0</v>
      </c>
      <c r="K57" s="17"/>
      <c r="L57" s="35">
        <f>+D57-H57</f>
        <v>162.61000000000001</v>
      </c>
      <c r="M57" s="17"/>
      <c r="N57" s="29">
        <f>IF(H57=0,0,L57/H57)</f>
        <v>-1</v>
      </c>
      <c r="O57" s="27"/>
      <c r="P57" s="35">
        <f>SUM(P54:P56)</f>
        <v>0</v>
      </c>
      <c r="Q57" s="15"/>
      <c r="R57" s="29">
        <f>IF(P$12=0,0,P57/P$12)</f>
        <v>0</v>
      </c>
      <c r="S57" s="15"/>
      <c r="T57" s="35">
        <f>SUM(T54:T56)</f>
        <v>-45891.090000000004</v>
      </c>
      <c r="U57" s="15"/>
      <c r="V57" s="29">
        <f>IF(T$12=0,0,T57/T$12)</f>
        <v>0</v>
      </c>
      <c r="W57" s="17"/>
      <c r="X57" s="35">
        <f>+P57-T57</f>
        <v>45891.090000000004</v>
      </c>
      <c r="Y57" s="17"/>
      <c r="Z57" s="29">
        <f>IF(T57=0,0,X57/T57)</f>
        <v>-1</v>
      </c>
    </row>
    <row r="58" spans="1:26" ht="15" customHeight="1" x14ac:dyDescent="0.3">
      <c r="A58" s="10"/>
      <c r="C58" s="10"/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3">
      <c r="A59" s="10"/>
      <c r="B59" s="50">
        <v>44634.887810300927</v>
      </c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  <row r="60" spans="1:26" ht="15" customHeight="1" x14ac:dyDescent="0.3">
      <c r="A60" s="10"/>
      <c r="B60" s="58" t="s">
        <v>297</v>
      </c>
      <c r="D60" s="18"/>
      <c r="E60" s="18"/>
      <c r="G60" s="18"/>
      <c r="H60" s="18"/>
      <c r="I60" s="18"/>
      <c r="J60" s="41"/>
      <c r="K60" s="18"/>
      <c r="L60" s="18"/>
      <c r="M60" s="18"/>
      <c r="P60" s="18"/>
      <c r="Q60" s="18"/>
      <c r="R60" s="41"/>
      <c r="S60" s="18"/>
      <c r="T60" s="18"/>
      <c r="U60" s="18"/>
      <c r="V60" s="41"/>
      <c r="W60" s="18"/>
      <c r="X60" s="18"/>
    </row>
    <row r="61" spans="1:26" ht="15" customHeight="1" x14ac:dyDescent="0.3">
      <c r="A61" s="10"/>
      <c r="B61" s="56"/>
      <c r="D61" s="18"/>
      <c r="E61" s="18"/>
      <c r="G61" s="18"/>
      <c r="H61" s="18"/>
      <c r="I61" s="18"/>
      <c r="J61" s="41"/>
      <c r="K61" s="18"/>
      <c r="L61" s="18"/>
      <c r="M61" s="18"/>
      <c r="P61" s="18"/>
      <c r="Q61" s="18"/>
      <c r="R61" s="41"/>
      <c r="S61" s="18"/>
      <c r="T61" s="18"/>
      <c r="U61" s="18"/>
      <c r="V61" s="41"/>
      <c r="W61" s="18"/>
      <c r="X61" s="18"/>
    </row>
    <row r="62" spans="1:26" ht="15" customHeight="1" x14ac:dyDescent="0.3">
      <c r="D62" s="18"/>
      <c r="E62" s="18"/>
      <c r="G62" s="18"/>
      <c r="H62" s="18"/>
      <c r="I62" s="18"/>
      <c r="J62" s="41"/>
      <c r="K62" s="18"/>
      <c r="L62" s="18"/>
      <c r="M62" s="18"/>
      <c r="P62" s="18"/>
      <c r="Q62" s="18"/>
      <c r="R62" s="41"/>
      <c r="S62" s="18"/>
      <c r="T62" s="18"/>
      <c r="U62" s="18"/>
      <c r="V62" s="41"/>
      <c r="W62" s="18"/>
      <c r="X62" s="18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04007-53CC-6C8B-0CBE-57F5A12AE8F3}">
  <sheetPr>
    <tabColor rgb="FF92D050"/>
    <outlinePr summaryBelow="0" summaryRight="0"/>
  </sheetPr>
  <dimension ref="A2:Z8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","321"," - ","Corner Market")</f>
        <v>Department 321 - Corner Market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25746.41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25746.41</v>
      </c>
      <c r="M12" s="5"/>
      <c r="N12" s="13">
        <f>IF(H12=0,0,L12/H12)</f>
        <v>0</v>
      </c>
      <c r="O12" s="11"/>
      <c r="P12" s="5">
        <f>SUM(OSRRefP13x_0)</f>
        <v>25746.41</v>
      </c>
      <c r="Q12" s="5"/>
      <c r="R12" s="13"/>
      <c r="S12" s="5"/>
      <c r="T12" s="5">
        <f>SUM(OSRRefT13x_0)</f>
        <v>2476.4700000000003</v>
      </c>
      <c r="U12" s="5"/>
      <c r="V12" s="13"/>
      <c r="W12" s="5"/>
      <c r="X12" s="5">
        <f>+P12-T12</f>
        <v>23269.94</v>
      </c>
      <c r="Y12" s="5"/>
      <c r="Z12" s="13">
        <f>IF(T12=0,0,X12/T12)</f>
        <v>9.3964150585308914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--4375.81</f>
        <v>4375.8100000000004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4375.8100000000004</v>
      </c>
      <c r="M13" s="3"/>
      <c r="N13" s="20">
        <f>IF(H13=0,0,L13/H13)</f>
        <v>0</v>
      </c>
      <c r="O13" s="12"/>
      <c r="P13" s="3">
        <f>--4375.81</f>
        <v>4375.8100000000004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4375.8100000000004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>+P14-T14</f>
        <v>-444.59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--21370.6</f>
        <v>21370.6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21370.6</v>
      </c>
      <c r="M15" s="3"/>
      <c r="N15" s="20">
        <f>IF(H15=0,0,L15/H15)</f>
        <v>0</v>
      </c>
      <c r="O15" s="12"/>
      <c r="P15" s="3">
        <f>--21370.6</f>
        <v>21370.6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21370.6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","4132"," - ","NON-TAXABLE SALES-JUICE")</f>
        <v xml:space="preserve">          4132 - NON-TAXABLE SALES-JUICE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--2031.88</f>
        <v>2031.88</v>
      </c>
      <c r="U16" s="3"/>
      <c r="V16" s="20"/>
      <c r="W16" s="3"/>
      <c r="X16" s="3">
        <f>+P16-T16</f>
        <v>-2031.88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12616.060000000001</v>
      </c>
      <c r="E18" s="5"/>
      <c r="F18" s="13">
        <f>IF(D$12=0,0,D18/D$12)</f>
        <v>0.49001239396094454</v>
      </c>
      <c r="G18" s="5"/>
      <c r="H18" s="5">
        <f>SUM(OSRRefH16x_0)</f>
        <v>19579</v>
      </c>
      <c r="I18" s="5"/>
      <c r="J18" s="13">
        <f>IF(H$12=0,0,H18/H$12)</f>
        <v>0</v>
      </c>
      <c r="K18" s="5"/>
      <c r="L18" s="5">
        <f>+D18-H18</f>
        <v>-6962.9399999999987</v>
      </c>
      <c r="M18" s="5"/>
      <c r="N18" s="13">
        <f>IF(H18=0,0,L18/H18)</f>
        <v>-0.35563307625517127</v>
      </c>
      <c r="O18" s="11"/>
      <c r="P18" s="5">
        <f>SUM(OSRRefP16x_0)</f>
        <v>21255.06</v>
      </c>
      <c r="Q18" s="5"/>
      <c r="R18" s="13">
        <f>IF(P$12=0,0,P18/P$12)</f>
        <v>0.8255543200003419</v>
      </c>
      <c r="S18" s="5"/>
      <c r="T18" s="5">
        <f>SUM(OSRRefT16x_0)</f>
        <v>19579.73</v>
      </c>
      <c r="U18" s="5"/>
      <c r="V18" s="13">
        <f>IF(T$12=0,0,T18/T$12)</f>
        <v>7.9063061535169004</v>
      </c>
      <c r="W18" s="5"/>
      <c r="X18" s="5">
        <f>+P18-T18</f>
        <v>1675.3300000000017</v>
      </c>
      <c r="Y18" s="5"/>
      <c r="Z18" s="13">
        <f>IF(T18=0,0,X18/T18)</f>
        <v>8.5564509827255109E-2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-10213</v>
      </c>
      <c r="E19" s="3"/>
      <c r="F19" s="20">
        <f>IF(D$12=0,0,D19/D$12)</f>
        <v>-0.39667666288232029</v>
      </c>
      <c r="G19" s="3"/>
      <c r="H19" s="3"/>
      <c r="I19" s="3"/>
      <c r="J19" s="20">
        <f>IF(H$12=0,0,H19/H$12)</f>
        <v>0</v>
      </c>
      <c r="K19" s="3"/>
      <c r="L19" s="3">
        <f>+D19-H19</f>
        <v>-10213</v>
      </c>
      <c r="M19" s="3"/>
      <c r="N19" s="20">
        <f>IF(H19=0,0,L19/H19)</f>
        <v>0</v>
      </c>
      <c r="O19" s="12"/>
      <c r="P19" s="3">
        <v>-10213</v>
      </c>
      <c r="Q19" s="3"/>
      <c r="R19" s="20">
        <f>IF(P$12=0,0,P19/P$12)</f>
        <v>-0.39667666288232029</v>
      </c>
      <c r="S19" s="3"/>
      <c r="T19" s="3"/>
      <c r="U19" s="3"/>
      <c r="V19" s="20">
        <f>IF(T$12=0,0,T19/T$12)</f>
        <v>0</v>
      </c>
      <c r="W19" s="3"/>
      <c r="X19" s="3">
        <f>+P19-T19</f>
        <v>-10213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0.73</v>
      </c>
      <c r="U20" s="3"/>
      <c r="V20" s="20">
        <f>IF(T$12=0,0,T20/T$12)</f>
        <v>2.9477441681102534E-4</v>
      </c>
      <c r="W20" s="3"/>
      <c r="X20" s="3">
        <f>+P20-T20</f>
        <v>-0.73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22829.06</v>
      </c>
      <c r="E21" s="3"/>
      <c r="F21" s="20">
        <f>IF(D$12=0,0,D21/D$12)</f>
        <v>0.88668905684326482</v>
      </c>
      <c r="G21" s="3"/>
      <c r="H21" s="3">
        <v>19579</v>
      </c>
      <c r="I21" s="3"/>
      <c r="J21" s="20">
        <f>IF(H$12=0,0,H21/H$12)</f>
        <v>0</v>
      </c>
      <c r="K21" s="3"/>
      <c r="L21" s="3">
        <f>+D21-H21</f>
        <v>3250.0600000000013</v>
      </c>
      <c r="M21" s="3"/>
      <c r="N21" s="20">
        <f>IF(H21=0,0,L21/H21)</f>
        <v>0.16599724194289808</v>
      </c>
      <c r="O21" s="12"/>
      <c r="P21" s="3">
        <v>31468.06</v>
      </c>
      <c r="Q21" s="3"/>
      <c r="R21" s="20">
        <f>IF(P$12=0,0,P21/P$12)</f>
        <v>1.2222309828826621</v>
      </c>
      <c r="S21" s="3"/>
      <c r="T21" s="3">
        <v>19579</v>
      </c>
      <c r="U21" s="3"/>
      <c r="V21" s="20">
        <f>IF(T$12=0,0,T21/T$12)</f>
        <v>7.9060113791000894</v>
      </c>
      <c r="W21" s="3"/>
      <c r="X21" s="3">
        <f>+P21-T21</f>
        <v>11889.060000000001</v>
      </c>
      <c r="Y21" s="3"/>
      <c r="Z21" s="20">
        <f>IF(T21=0,0,X21/T21)</f>
        <v>0.60723530313090568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3">
        <f>D12-D18</f>
        <v>13130.349999999999</v>
      </c>
      <c r="E23" s="15"/>
      <c r="F23" s="22">
        <f>IF(D$12=0,0,D23/D$12)</f>
        <v>0.50998760603905546</v>
      </c>
      <c r="G23" s="15"/>
      <c r="H23" s="23">
        <f>H12-H18</f>
        <v>-19579</v>
      </c>
      <c r="I23" s="15"/>
      <c r="J23" s="22">
        <f>IF(H$12=0,0,H23/H$12)</f>
        <v>0</v>
      </c>
      <c r="K23" s="17"/>
      <c r="L23" s="23">
        <f>+D23-H23</f>
        <v>32709.35</v>
      </c>
      <c r="M23" s="17"/>
      <c r="N23" s="22">
        <f>IF(H23=0,0,L23/H23)</f>
        <v>-1.6706343531334593</v>
      </c>
      <c r="O23" s="27"/>
      <c r="P23" s="23">
        <f>P12-P18</f>
        <v>4491.3499999999985</v>
      </c>
      <c r="Q23" s="15"/>
      <c r="R23" s="22">
        <f>IF(P$12=0,0,P23/P$12)</f>
        <v>0.17444567999965815</v>
      </c>
      <c r="S23" s="15"/>
      <c r="T23" s="23">
        <f>T12-T18</f>
        <v>-17103.259999999998</v>
      </c>
      <c r="U23" s="15"/>
      <c r="V23" s="22">
        <f>IF(T$12=0,0,T23/T$12)</f>
        <v>-6.9063061535168995</v>
      </c>
      <c r="W23" s="17"/>
      <c r="X23" s="23">
        <f>+P23-T23</f>
        <v>21594.609999999997</v>
      </c>
      <c r="Y23" s="17"/>
      <c r="Z23" s="22">
        <f>IF(T23=0,0,X23/T23)</f>
        <v>-1.2626019834815116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1" cm="1">
        <f t="array" ref="D25">SUM(OSRRefD22x_0)</f>
        <v>15080.74</v>
      </c>
      <c r="E25" s="21"/>
      <c r="F25" s="30">
        <f t="shared" ref="F25:F72" si="0">IF(D$12=0,0,D25/D$12)</f>
        <v>0.58574146842219943</v>
      </c>
      <c r="G25" s="21"/>
      <c r="H25" s="21" cm="1">
        <f t="array" ref="H25">SUM(OSRRefH22x_0)</f>
        <v>1401.82</v>
      </c>
      <c r="I25" s="21"/>
      <c r="J25" s="30">
        <f t="shared" ref="J25:J72" si="1">IF(H$12=0,0,H25/H$12)</f>
        <v>0</v>
      </c>
      <c r="K25" s="5"/>
      <c r="L25" s="21">
        <f t="shared" ref="L25:L72" si="2">+D25-H25</f>
        <v>13678.92</v>
      </c>
      <c r="M25" s="5"/>
      <c r="N25" s="30">
        <f t="shared" ref="N25:N72" si="3">IF(H25=0,0,L25/H25)</f>
        <v>9.7579717795437357</v>
      </c>
      <c r="O25" s="11"/>
      <c r="P25" s="21" cm="1">
        <f t="array" ref="P25">SUM(OSRRefP22x_0)</f>
        <v>35050.070000000007</v>
      </c>
      <c r="Q25" s="21"/>
      <c r="R25" s="30">
        <f t="shared" ref="R25:R72" si="4">IF(P$12=0,0,P25/P$12)</f>
        <v>1.3613575640254314</v>
      </c>
      <c r="S25" s="21"/>
      <c r="T25" s="21" cm="1">
        <f t="array" ref="T25">SUM(OSRRefT22x_0)</f>
        <v>37559.439999999988</v>
      </c>
      <c r="U25" s="21"/>
      <c r="V25" s="30">
        <f t="shared" ref="V25:V72" si="5">IF(T$12=0,0,T25/T$12)</f>
        <v>15.166523317463964</v>
      </c>
      <c r="W25" s="5"/>
      <c r="X25" s="21">
        <f t="shared" ref="X25:X72" si="6">+P25-T25</f>
        <v>-2509.3699999999808</v>
      </c>
      <c r="Y25" s="5"/>
      <c r="Z25" s="30">
        <f t="shared" ref="Z25:Z72" si="7">IF(T25=0,0,X25/T25)</f>
        <v>-6.6810634024361965E-2</v>
      </c>
    </row>
    <row r="26" spans="1:26" s="68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2653.41</v>
      </c>
      <c r="E26" s="2"/>
      <c r="F26" s="6">
        <f t="shared" si="0"/>
        <v>0.10305941682743341</v>
      </c>
      <c r="G26" s="2"/>
      <c r="H26" s="2">
        <f>SUM(OSRRefH22_0x_0)</f>
        <v>0</v>
      </c>
      <c r="I26" s="2"/>
      <c r="J26" s="6">
        <f t="shared" si="1"/>
        <v>0</v>
      </c>
      <c r="K26" s="2"/>
      <c r="L26" s="2">
        <f t="shared" si="2"/>
        <v>2653.41</v>
      </c>
      <c r="M26" s="2"/>
      <c r="N26" s="6">
        <f t="shared" si="3"/>
        <v>0</v>
      </c>
      <c r="O26" s="14"/>
      <c r="P26" s="2">
        <f>SUM(OSRRefP22_0x_0)</f>
        <v>6287.69</v>
      </c>
      <c r="Q26" s="2"/>
      <c r="R26" s="6">
        <f t="shared" si="4"/>
        <v>0.24421618392622504</v>
      </c>
      <c r="S26" s="2"/>
      <c r="T26" s="2">
        <f>SUM(OSRRefT22_0x_0)</f>
        <v>8751.99</v>
      </c>
      <c r="U26" s="2"/>
      <c r="V26" s="6">
        <f t="shared" si="5"/>
        <v>3.5340585591588023</v>
      </c>
      <c r="W26" s="2"/>
      <c r="X26" s="2">
        <f t="shared" si="6"/>
        <v>-2464.3000000000002</v>
      </c>
      <c r="Y26" s="2"/>
      <c r="Z26" s="6">
        <f t="shared" si="7"/>
        <v>-0.28157024859489099</v>
      </c>
    </row>
    <row r="27" spans="1:26" s="69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425.65</v>
      </c>
      <c r="E27" s="3"/>
      <c r="F27" s="7">
        <f t="shared" si="0"/>
        <v>1.6532401993132245E-2</v>
      </c>
      <c r="G27" s="3"/>
      <c r="H27" s="8"/>
      <c r="I27" s="3"/>
      <c r="J27" s="7">
        <f t="shared" si="1"/>
        <v>0</v>
      </c>
      <c r="K27" s="3"/>
      <c r="L27" s="8">
        <f t="shared" si="2"/>
        <v>425.65</v>
      </c>
      <c r="M27" s="3"/>
      <c r="N27" s="7">
        <f t="shared" si="3"/>
        <v>0</v>
      </c>
      <c r="O27" s="12"/>
      <c r="P27" s="8">
        <v>1027.6199999999999</v>
      </c>
      <c r="Q27" s="3"/>
      <c r="R27" s="7">
        <f t="shared" si="4"/>
        <v>3.9913137404399286E-2</v>
      </c>
      <c r="S27" s="3"/>
      <c r="T27" s="8">
        <v>1667.09</v>
      </c>
      <c r="U27" s="3"/>
      <c r="V27" s="7">
        <f t="shared" si="5"/>
        <v>0.67317189386505782</v>
      </c>
      <c r="W27" s="3"/>
      <c r="X27" s="8">
        <f t="shared" si="6"/>
        <v>-639.47</v>
      </c>
      <c r="Y27" s="3"/>
      <c r="Z27" s="7">
        <f t="shared" si="7"/>
        <v>-0.38358456951934211</v>
      </c>
    </row>
    <row r="28" spans="1:26" s="69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96.74</v>
      </c>
      <c r="E28" s="3"/>
      <c r="F28" s="7">
        <f t="shared" si="0"/>
        <v>3.7574170534843496E-3</v>
      </c>
      <c r="G28" s="3"/>
      <c r="H28" s="8"/>
      <c r="I28" s="3"/>
      <c r="J28" s="7">
        <f t="shared" si="1"/>
        <v>0</v>
      </c>
      <c r="K28" s="3"/>
      <c r="L28" s="8">
        <f t="shared" si="2"/>
        <v>96.74</v>
      </c>
      <c r="M28" s="3"/>
      <c r="N28" s="7">
        <f t="shared" si="3"/>
        <v>0</v>
      </c>
      <c r="O28" s="12"/>
      <c r="P28" s="8">
        <v>221.66</v>
      </c>
      <c r="Q28" s="3"/>
      <c r="R28" s="7">
        <f t="shared" si="4"/>
        <v>8.6093556344360236E-3</v>
      </c>
      <c r="S28" s="3"/>
      <c r="T28" s="8">
        <v>331.61</v>
      </c>
      <c r="U28" s="3"/>
      <c r="V28" s="7">
        <f t="shared" si="5"/>
        <v>0.13390430734069056</v>
      </c>
      <c r="W28" s="3"/>
      <c r="X28" s="8">
        <f t="shared" si="6"/>
        <v>-109.95000000000002</v>
      </c>
      <c r="Y28" s="3"/>
      <c r="Z28" s="7">
        <f t="shared" si="7"/>
        <v>-0.33156418684599381</v>
      </c>
    </row>
    <row r="29" spans="1:26" s="69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1284.44</v>
      </c>
      <c r="E29" s="3"/>
      <c r="F29" s="7">
        <f t="shared" si="0"/>
        <v>4.9888120324348133E-2</v>
      </c>
      <c r="G29" s="3"/>
      <c r="H29" s="8"/>
      <c r="I29" s="3"/>
      <c r="J29" s="7">
        <f t="shared" si="1"/>
        <v>0</v>
      </c>
      <c r="K29" s="3"/>
      <c r="L29" s="8">
        <f t="shared" si="2"/>
        <v>1284.44</v>
      </c>
      <c r="M29" s="3"/>
      <c r="N29" s="7">
        <f t="shared" si="3"/>
        <v>0</v>
      </c>
      <c r="O29" s="12"/>
      <c r="P29" s="8">
        <v>2602.66</v>
      </c>
      <c r="Q29" s="3"/>
      <c r="R29" s="7">
        <f t="shared" si="4"/>
        <v>0.10108826822846369</v>
      </c>
      <c r="S29" s="3"/>
      <c r="T29" s="8">
        <v>3385.22</v>
      </c>
      <c r="U29" s="3"/>
      <c r="V29" s="7">
        <f t="shared" si="5"/>
        <v>1.366953768872629</v>
      </c>
      <c r="W29" s="3"/>
      <c r="X29" s="8">
        <f t="shared" si="6"/>
        <v>-782.56</v>
      </c>
      <c r="Y29" s="3"/>
      <c r="Z29" s="7">
        <f t="shared" si="7"/>
        <v>-0.2311696137917181</v>
      </c>
    </row>
    <row r="30" spans="1:26" s="69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16.989999999999998</v>
      </c>
      <c r="E30" s="3"/>
      <c r="F30" s="7">
        <f t="shared" si="0"/>
        <v>6.5989782653193198E-4</v>
      </c>
      <c r="G30" s="3"/>
      <c r="H30" s="8"/>
      <c r="I30" s="3"/>
      <c r="J30" s="7">
        <f t="shared" si="1"/>
        <v>0</v>
      </c>
      <c r="K30" s="3"/>
      <c r="L30" s="8">
        <f t="shared" si="2"/>
        <v>16.989999999999998</v>
      </c>
      <c r="M30" s="3"/>
      <c r="N30" s="7">
        <f t="shared" si="3"/>
        <v>0</v>
      </c>
      <c r="O30" s="12"/>
      <c r="P30" s="8">
        <v>37.200000000000003</v>
      </c>
      <c r="Q30" s="3"/>
      <c r="R30" s="7">
        <f t="shared" si="4"/>
        <v>1.4448616331364256E-3</v>
      </c>
      <c r="S30" s="3"/>
      <c r="T30" s="8">
        <v>62.01</v>
      </c>
      <c r="U30" s="3"/>
      <c r="V30" s="7">
        <f t="shared" si="5"/>
        <v>2.5039673406098192E-2</v>
      </c>
      <c r="W30" s="3"/>
      <c r="X30" s="8">
        <f t="shared" si="6"/>
        <v>-24.809999999999995</v>
      </c>
      <c r="Y30" s="3"/>
      <c r="Z30" s="7">
        <f t="shared" si="7"/>
        <v>-0.40009675858732457</v>
      </c>
    </row>
    <row r="31" spans="1:26" s="69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1254.1099999999999</v>
      </c>
      <c r="U31" s="3"/>
      <c r="V31" s="7">
        <f t="shared" si="5"/>
        <v>0.50641033406421232</v>
      </c>
      <c r="W31" s="3"/>
      <c r="X31" s="8">
        <f t="shared" si="6"/>
        <v>-1254.1099999999999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","6117"," - ","RETIREMENT STAFF HOURLY")</f>
        <v xml:space="preserve">          6117 - RETIREMENT STAFF HOURLY</v>
      </c>
      <c r="C32" s="12"/>
      <c r="D32" s="8">
        <v>250.77</v>
      </c>
      <c r="E32" s="3"/>
      <c r="F32" s="7">
        <f t="shared" si="0"/>
        <v>9.7399987027317596E-3</v>
      </c>
      <c r="G32" s="3"/>
      <c r="H32" s="8"/>
      <c r="I32" s="3"/>
      <c r="J32" s="7">
        <f t="shared" si="1"/>
        <v>0</v>
      </c>
      <c r="K32" s="3"/>
      <c r="L32" s="8">
        <f t="shared" si="2"/>
        <v>250.77</v>
      </c>
      <c r="M32" s="3"/>
      <c r="N32" s="7">
        <f t="shared" si="3"/>
        <v>0</v>
      </c>
      <c r="O32" s="12"/>
      <c r="P32" s="8">
        <v>462.43</v>
      </c>
      <c r="Q32" s="3"/>
      <c r="R32" s="7">
        <f t="shared" si="4"/>
        <v>1.7960950672346165E-2</v>
      </c>
      <c r="S32" s="3"/>
      <c r="T32" s="8"/>
      <c r="U32" s="3"/>
      <c r="V32" s="7">
        <f t="shared" si="5"/>
        <v>0</v>
      </c>
      <c r="W32" s="3"/>
      <c r="X32" s="8">
        <f t="shared" si="6"/>
        <v>462.43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163.24</v>
      </c>
      <c r="E33" s="3"/>
      <c r="F33" s="7">
        <f t="shared" si="0"/>
        <v>6.3403014245481219E-3</v>
      </c>
      <c r="G33" s="3"/>
      <c r="H33" s="8"/>
      <c r="I33" s="3"/>
      <c r="J33" s="7">
        <f t="shared" si="1"/>
        <v>0</v>
      </c>
      <c r="K33" s="3"/>
      <c r="L33" s="8">
        <f t="shared" si="2"/>
        <v>163.24</v>
      </c>
      <c r="M33" s="3"/>
      <c r="N33" s="7">
        <f t="shared" si="3"/>
        <v>0</v>
      </c>
      <c r="O33" s="12"/>
      <c r="P33" s="8">
        <v>571.34</v>
      </c>
      <c r="Q33" s="3"/>
      <c r="R33" s="7">
        <f t="shared" si="4"/>
        <v>2.2191054985918425E-2</v>
      </c>
      <c r="S33" s="3"/>
      <c r="T33" s="8">
        <v>958.88</v>
      </c>
      <c r="U33" s="3"/>
      <c r="V33" s="7">
        <f t="shared" si="5"/>
        <v>0.38719629149555612</v>
      </c>
      <c r="W33" s="3"/>
      <c r="X33" s="8">
        <f t="shared" si="6"/>
        <v>-387.53999999999996</v>
      </c>
      <c r="Y33" s="3"/>
      <c r="Z33" s="7">
        <f t="shared" si="7"/>
        <v>-0.40415901885533118</v>
      </c>
    </row>
    <row r="34" spans="1:26" s="69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195.58</v>
      </c>
      <c r="E34" s="3"/>
      <c r="F34" s="7">
        <f t="shared" si="0"/>
        <v>7.5963988765812406E-3</v>
      </c>
      <c r="G34" s="3"/>
      <c r="H34" s="8"/>
      <c r="I34" s="3"/>
      <c r="J34" s="7">
        <f t="shared" si="1"/>
        <v>0</v>
      </c>
      <c r="K34" s="3"/>
      <c r="L34" s="8">
        <f t="shared" si="2"/>
        <v>195.58</v>
      </c>
      <c r="M34" s="3"/>
      <c r="N34" s="7">
        <f t="shared" si="3"/>
        <v>0</v>
      </c>
      <c r="O34" s="12"/>
      <c r="P34" s="8">
        <v>684.53</v>
      </c>
      <c r="Q34" s="3"/>
      <c r="R34" s="7">
        <f t="shared" si="4"/>
        <v>2.6587396068034338E-2</v>
      </c>
      <c r="S34" s="3"/>
      <c r="T34" s="8">
        <v>767.52</v>
      </c>
      <c r="U34" s="3"/>
      <c r="V34" s="7">
        <f t="shared" si="5"/>
        <v>0.30992501423397006</v>
      </c>
      <c r="W34" s="3"/>
      <c r="X34" s="8">
        <f t="shared" si="6"/>
        <v>-82.990000000000009</v>
      </c>
      <c r="Y34" s="3"/>
      <c r="Z34" s="7">
        <f t="shared" si="7"/>
        <v>-0.1081274755055243</v>
      </c>
    </row>
    <row r="35" spans="1:26" s="69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220</v>
      </c>
      <c r="E35" s="3"/>
      <c r="F35" s="7">
        <f t="shared" si="0"/>
        <v>8.5448806260756353E-3</v>
      </c>
      <c r="G35" s="3"/>
      <c r="H35" s="8"/>
      <c r="I35" s="3"/>
      <c r="J35" s="7">
        <f t="shared" si="1"/>
        <v>0</v>
      </c>
      <c r="K35" s="3"/>
      <c r="L35" s="8">
        <f t="shared" si="2"/>
        <v>220</v>
      </c>
      <c r="M35" s="3"/>
      <c r="N35" s="7">
        <f t="shared" si="3"/>
        <v>0</v>
      </c>
      <c r="O35" s="12"/>
      <c r="P35" s="8">
        <v>680.25</v>
      </c>
      <c r="Q35" s="3"/>
      <c r="R35" s="7">
        <f t="shared" si="4"/>
        <v>2.6421159299490685E-2</v>
      </c>
      <c r="S35" s="3"/>
      <c r="T35" s="8">
        <v>325.55</v>
      </c>
      <c r="U35" s="3"/>
      <c r="V35" s="7">
        <f t="shared" si="5"/>
        <v>0.13145727588058809</v>
      </c>
      <c r="W35" s="3"/>
      <c r="X35" s="8">
        <f t="shared" si="6"/>
        <v>354.7</v>
      </c>
      <c r="Y35" s="3"/>
      <c r="Z35" s="7">
        <f t="shared" si="7"/>
        <v>1.0895407771463677</v>
      </c>
    </row>
    <row r="36" spans="1:26" s="68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8437.4</v>
      </c>
      <c r="E36" s="2"/>
      <c r="F36" s="6">
        <f t="shared" si="0"/>
        <v>0.32771170815659345</v>
      </c>
      <c r="G36" s="2"/>
      <c r="H36" s="2">
        <f>SUM(OSRRefH22_1x_0)</f>
        <v>0</v>
      </c>
      <c r="I36" s="2"/>
      <c r="J36" s="6">
        <f t="shared" si="1"/>
        <v>0</v>
      </c>
      <c r="K36" s="2"/>
      <c r="L36" s="2">
        <f t="shared" si="2"/>
        <v>8437.4</v>
      </c>
      <c r="M36" s="2"/>
      <c r="N36" s="6">
        <f t="shared" si="3"/>
        <v>0</v>
      </c>
      <c r="O36" s="14"/>
      <c r="P36" s="2">
        <f>SUM(OSRRefP22_1x_0)</f>
        <v>17155.63</v>
      </c>
      <c r="Q36" s="2"/>
      <c r="R36" s="6">
        <f t="shared" si="4"/>
        <v>0.66633095643237261</v>
      </c>
      <c r="S36" s="2"/>
      <c r="T36" s="2">
        <f>SUM(OSRRefT22_1x_0)</f>
        <v>15859.96</v>
      </c>
      <c r="U36" s="2"/>
      <c r="V36" s="6">
        <f t="shared" si="5"/>
        <v>6.404260903624917</v>
      </c>
      <c r="W36" s="2"/>
      <c r="X36" s="2">
        <f t="shared" si="6"/>
        <v>1295.6700000000019</v>
      </c>
      <c r="Y36" s="2"/>
      <c r="Z36" s="6">
        <f t="shared" si="7"/>
        <v>8.169440528223286E-2</v>
      </c>
    </row>
    <row r="37" spans="1:26" s="69" customFormat="1" ht="15" hidden="1" customHeight="1" outlineLevel="2" x14ac:dyDescent="0.3">
      <c r="A37" s="26"/>
      <c r="B37" s="12" t="str">
        <f>CONCATENATE("          ","6002"," - ","STAFF SALARIES")</f>
        <v xml:space="preserve">          6002 - STAFF SALARIES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13728</v>
      </c>
      <c r="U37" s="3"/>
      <c r="V37" s="7">
        <f t="shared" si="5"/>
        <v>5.5433742383311726</v>
      </c>
      <c r="W37" s="3"/>
      <c r="X37" s="8">
        <f t="shared" si="6"/>
        <v>-13728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8">
        <v>6601.4</v>
      </c>
      <c r="E38" s="3"/>
      <c r="F38" s="7">
        <f t="shared" si="0"/>
        <v>0.2564007952953441</v>
      </c>
      <c r="G38" s="3"/>
      <c r="H38" s="8"/>
      <c r="I38" s="3"/>
      <c r="J38" s="7">
        <f t="shared" si="1"/>
        <v>0</v>
      </c>
      <c r="K38" s="3"/>
      <c r="L38" s="8">
        <f t="shared" si="2"/>
        <v>6601.4</v>
      </c>
      <c r="M38" s="3"/>
      <c r="N38" s="7">
        <f t="shared" si="3"/>
        <v>0</v>
      </c>
      <c r="O38" s="12"/>
      <c r="P38" s="8">
        <v>14161.33</v>
      </c>
      <c r="Q38" s="3"/>
      <c r="R38" s="7">
        <f t="shared" si="4"/>
        <v>0.55003124707483486</v>
      </c>
      <c r="S38" s="3"/>
      <c r="T38" s="8"/>
      <c r="U38" s="3"/>
      <c r="V38" s="7">
        <f t="shared" si="5"/>
        <v>0</v>
      </c>
      <c r="W38" s="3"/>
      <c r="X38" s="8">
        <f t="shared" si="6"/>
        <v>14161.33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8">
        <v>548.64</v>
      </c>
      <c r="E39" s="3"/>
      <c r="F39" s="7">
        <f t="shared" si="0"/>
        <v>2.1309378666773349E-2</v>
      </c>
      <c r="G39" s="3"/>
      <c r="H39" s="8"/>
      <c r="I39" s="3"/>
      <c r="J39" s="7">
        <f t="shared" si="1"/>
        <v>0</v>
      </c>
      <c r="K39" s="3"/>
      <c r="L39" s="8">
        <f t="shared" si="2"/>
        <v>548.64</v>
      </c>
      <c r="M39" s="3"/>
      <c r="N39" s="7">
        <f t="shared" si="3"/>
        <v>0</v>
      </c>
      <c r="O39" s="12"/>
      <c r="P39" s="8">
        <v>638.94000000000005</v>
      </c>
      <c r="Q39" s="3"/>
      <c r="R39" s="7">
        <f t="shared" si="4"/>
        <v>2.4816663760112576E-2</v>
      </c>
      <c r="S39" s="3"/>
      <c r="T39" s="8">
        <v>2131.96</v>
      </c>
      <c r="U39" s="3"/>
      <c r="V39" s="7">
        <f t="shared" si="5"/>
        <v>0.86088666529374469</v>
      </c>
      <c r="W39" s="3"/>
      <c r="X39" s="8">
        <f t="shared" si="6"/>
        <v>-1493.02</v>
      </c>
      <c r="Y39" s="3"/>
      <c r="Z39" s="7">
        <f t="shared" si="7"/>
        <v>-0.70030394566502185</v>
      </c>
    </row>
    <row r="40" spans="1:26" s="69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8">
        <v>641</v>
      </c>
      <c r="E40" s="3"/>
      <c r="F40" s="7">
        <f t="shared" si="0"/>
        <v>2.4896674915065829E-2</v>
      </c>
      <c r="G40" s="3"/>
      <c r="H40" s="8"/>
      <c r="I40" s="3"/>
      <c r="J40" s="7">
        <f t="shared" si="1"/>
        <v>0</v>
      </c>
      <c r="K40" s="3"/>
      <c r="L40" s="8">
        <f t="shared" si="2"/>
        <v>641</v>
      </c>
      <c r="M40" s="3"/>
      <c r="N40" s="7">
        <f t="shared" si="3"/>
        <v>0</v>
      </c>
      <c r="O40" s="12"/>
      <c r="P40" s="8">
        <v>641</v>
      </c>
      <c r="Q40" s="3"/>
      <c r="R40" s="7">
        <f t="shared" si="4"/>
        <v>2.4896674915065829E-2</v>
      </c>
      <c r="S40" s="3"/>
      <c r="T40" s="8"/>
      <c r="U40" s="3"/>
      <c r="V40" s="7">
        <f t="shared" si="5"/>
        <v>0</v>
      </c>
      <c r="W40" s="3"/>
      <c r="X40" s="8">
        <f t="shared" si="6"/>
        <v>641</v>
      </c>
      <c r="Y40" s="3"/>
      <c r="Z40" s="7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8">
        <v>225.11</v>
      </c>
      <c r="E41" s="3"/>
      <c r="F41" s="7">
        <f t="shared" si="0"/>
        <v>8.7433548987994845E-3</v>
      </c>
      <c r="G41" s="3"/>
      <c r="H41" s="8"/>
      <c r="I41" s="3"/>
      <c r="J41" s="7">
        <f t="shared" si="1"/>
        <v>0</v>
      </c>
      <c r="K41" s="3"/>
      <c r="L41" s="8">
        <f t="shared" si="2"/>
        <v>225.11</v>
      </c>
      <c r="M41" s="3"/>
      <c r="N41" s="7">
        <f t="shared" si="3"/>
        <v>0</v>
      </c>
      <c r="O41" s="12"/>
      <c r="P41" s="8">
        <v>1293.1099999999999</v>
      </c>
      <c r="Q41" s="3"/>
      <c r="R41" s="7">
        <f t="shared" si="4"/>
        <v>5.0224866301748473E-2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1293.1099999999999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8">
        <v>421.25</v>
      </c>
      <c r="E42" s="3"/>
      <c r="F42" s="7">
        <f t="shared" si="0"/>
        <v>1.6361504380610733E-2</v>
      </c>
      <c r="G42" s="3"/>
      <c r="H42" s="8"/>
      <c r="I42" s="3"/>
      <c r="J42" s="7">
        <f t="shared" si="1"/>
        <v>0</v>
      </c>
      <c r="K42" s="3"/>
      <c r="L42" s="8">
        <f t="shared" si="2"/>
        <v>421.25</v>
      </c>
      <c r="M42" s="3"/>
      <c r="N42" s="7">
        <f t="shared" si="3"/>
        <v>0</v>
      </c>
      <c r="O42" s="12"/>
      <c r="P42" s="8">
        <v>421.25</v>
      </c>
      <c r="Q42" s="3"/>
      <c r="R42" s="7">
        <f t="shared" si="4"/>
        <v>1.6361504380610733E-2</v>
      </c>
      <c r="S42" s="3"/>
      <c r="T42" s="8"/>
      <c r="U42" s="3"/>
      <c r="V42" s="7">
        <f t="shared" si="5"/>
        <v>0</v>
      </c>
      <c r="W42" s="3"/>
      <c r="X42" s="8">
        <f t="shared" si="6"/>
        <v>421.25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","Advertising/Promo                                 ")</f>
        <v xml:space="preserve">     Advertising/Promo                                 </v>
      </c>
      <c r="C43" s="14"/>
      <c r="D43" s="2">
        <f>SUM(OSRRefD22_2x_0)</f>
        <v>485.45</v>
      </c>
      <c r="E43" s="2"/>
      <c r="F43" s="6">
        <f t="shared" si="0"/>
        <v>1.8855055908765534E-2</v>
      </c>
      <c r="G43" s="2"/>
      <c r="H43" s="2">
        <f>SUM(OSRRefH22_2x_0)</f>
        <v>0</v>
      </c>
      <c r="I43" s="2"/>
      <c r="J43" s="6">
        <f t="shared" si="1"/>
        <v>0</v>
      </c>
      <c r="K43" s="2"/>
      <c r="L43" s="2">
        <f t="shared" si="2"/>
        <v>485.45</v>
      </c>
      <c r="M43" s="2"/>
      <c r="N43" s="6">
        <f t="shared" si="3"/>
        <v>0</v>
      </c>
      <c r="O43" s="14"/>
      <c r="P43" s="2">
        <f>SUM(OSRRefP22_2x_0)</f>
        <v>485.45</v>
      </c>
      <c r="Q43" s="2"/>
      <c r="R43" s="6">
        <f t="shared" si="4"/>
        <v>1.8855055908765534E-2</v>
      </c>
      <c r="S43" s="2"/>
      <c r="T43" s="2">
        <f>SUM(OSRRefT22_2x_0)</f>
        <v>0</v>
      </c>
      <c r="U43" s="2"/>
      <c r="V43" s="6">
        <f t="shared" si="5"/>
        <v>0</v>
      </c>
      <c r="W43" s="2"/>
      <c r="X43" s="2">
        <f t="shared" si="6"/>
        <v>485.45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","6362"," - ","ADVERTISING EXPENSE")</f>
        <v xml:space="preserve">          6362 - ADVERTISING EXPENSE</v>
      </c>
      <c r="C44" s="12"/>
      <c r="D44" s="8">
        <v>485.45</v>
      </c>
      <c r="E44" s="3"/>
      <c r="F44" s="7">
        <f t="shared" si="0"/>
        <v>1.8855055908765534E-2</v>
      </c>
      <c r="G44" s="3"/>
      <c r="H44" s="8"/>
      <c r="I44" s="3"/>
      <c r="J44" s="7">
        <f t="shared" si="1"/>
        <v>0</v>
      </c>
      <c r="K44" s="3"/>
      <c r="L44" s="8">
        <f t="shared" si="2"/>
        <v>485.45</v>
      </c>
      <c r="M44" s="3"/>
      <c r="N44" s="7">
        <f t="shared" si="3"/>
        <v>0</v>
      </c>
      <c r="O44" s="12"/>
      <c r="P44" s="8">
        <v>485.45</v>
      </c>
      <c r="Q44" s="3"/>
      <c r="R44" s="7">
        <f t="shared" si="4"/>
        <v>1.8855055908765534E-2</v>
      </c>
      <c r="S44" s="3"/>
      <c r="T44" s="8"/>
      <c r="U44" s="3"/>
      <c r="V44" s="7">
        <f t="shared" si="5"/>
        <v>0</v>
      </c>
      <c r="W44" s="3"/>
      <c r="X44" s="8">
        <f t="shared" si="6"/>
        <v>485.45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5"/>
      <c r="B45" s="14" t="str">
        <f>CONCATENATE("     ","Bad Debts/Over/Short                              ")</f>
        <v xml:space="preserve">     Bad Debts/Over/Short                              </v>
      </c>
      <c r="C45" s="14"/>
      <c r="D45" s="2">
        <f>SUM(OSRRefD22_3x_0)</f>
        <v>-5.69</v>
      </c>
      <c r="E45" s="2"/>
      <c r="F45" s="6">
        <f t="shared" si="0"/>
        <v>-2.2100168528350168E-4</v>
      </c>
      <c r="G45" s="2"/>
      <c r="H45" s="2">
        <f>SUM(OSRRefH22_3x_0)</f>
        <v>0</v>
      </c>
      <c r="I45" s="2"/>
      <c r="J45" s="6">
        <f t="shared" si="1"/>
        <v>0</v>
      </c>
      <c r="K45" s="2"/>
      <c r="L45" s="2">
        <f t="shared" si="2"/>
        <v>-5.69</v>
      </c>
      <c r="M45" s="2"/>
      <c r="N45" s="6">
        <f t="shared" si="3"/>
        <v>0</v>
      </c>
      <c r="O45" s="14"/>
      <c r="P45" s="2">
        <f>SUM(OSRRefP22_3x_0)</f>
        <v>-5.69</v>
      </c>
      <c r="Q45" s="2"/>
      <c r="R45" s="6">
        <f t="shared" si="4"/>
        <v>-2.2100168528350168E-4</v>
      </c>
      <c r="S45" s="2"/>
      <c r="T45" s="2">
        <f>SUM(OSRRefT22_3x_0)</f>
        <v>3.31</v>
      </c>
      <c r="U45" s="2"/>
      <c r="V45" s="6">
        <f t="shared" si="5"/>
        <v>1.3365798899239642E-3</v>
      </c>
      <c r="W45" s="2"/>
      <c r="X45" s="2">
        <f t="shared" si="6"/>
        <v>-9</v>
      </c>
      <c r="Y45" s="2"/>
      <c r="Z45" s="6">
        <f t="shared" si="7"/>
        <v>-2.7190332326283988</v>
      </c>
    </row>
    <row r="46" spans="1:26" s="69" customFormat="1" ht="15" hidden="1" customHeight="1" outlineLevel="2" x14ac:dyDescent="0.3">
      <c r="A46" s="26"/>
      <c r="B46" s="12" t="str">
        <f>CONCATENATE("          ","6272"," - ","CASH (OVER/SHORT)")</f>
        <v xml:space="preserve">          6272 - CASH (OVER/SHORT)</v>
      </c>
      <c r="C46" s="12"/>
      <c r="D46" s="8">
        <v>-5.69</v>
      </c>
      <c r="E46" s="3"/>
      <c r="F46" s="7">
        <f t="shared" si="0"/>
        <v>-2.2100168528350168E-4</v>
      </c>
      <c r="G46" s="3"/>
      <c r="H46" s="8"/>
      <c r="I46" s="3"/>
      <c r="J46" s="7">
        <f t="shared" si="1"/>
        <v>0</v>
      </c>
      <c r="K46" s="3"/>
      <c r="L46" s="8">
        <f t="shared" si="2"/>
        <v>-5.69</v>
      </c>
      <c r="M46" s="3"/>
      <c r="N46" s="7">
        <f t="shared" si="3"/>
        <v>0</v>
      </c>
      <c r="O46" s="12"/>
      <c r="P46" s="8">
        <v>-5.69</v>
      </c>
      <c r="Q46" s="3"/>
      <c r="R46" s="7">
        <f t="shared" si="4"/>
        <v>-2.2100168528350168E-4</v>
      </c>
      <c r="S46" s="3"/>
      <c r="T46" s="8">
        <v>3.31</v>
      </c>
      <c r="U46" s="3"/>
      <c r="V46" s="7">
        <f t="shared" si="5"/>
        <v>1.3365798899239642E-3</v>
      </c>
      <c r="W46" s="3"/>
      <c r="X46" s="8">
        <f t="shared" si="6"/>
        <v>-9</v>
      </c>
      <c r="Y46" s="3"/>
      <c r="Z46" s="7">
        <f t="shared" si="7"/>
        <v>-2.7190332326283988</v>
      </c>
    </row>
    <row r="47" spans="1:26" s="68" customFormat="1" ht="15" customHeight="1" outlineLevel="1" collapsed="1" x14ac:dyDescent="0.3">
      <c r="A47" s="25"/>
      <c r="B47" s="14" t="str">
        <f>CONCATENATE("     ","Bank/card Fees                                    ")</f>
        <v xml:space="preserve">     Bank/card Fees                                    </v>
      </c>
      <c r="C47" s="14"/>
      <c r="D47" s="2">
        <f>SUM(OSRRefD22_4x_0)</f>
        <v>995.57</v>
      </c>
      <c r="E47" s="2"/>
      <c r="F47" s="6">
        <f t="shared" si="0"/>
        <v>3.8668303658646007E-2</v>
      </c>
      <c r="G47" s="2"/>
      <c r="H47" s="2">
        <f>SUM(OSRRefH22_4x_0)</f>
        <v>224.95</v>
      </c>
      <c r="I47" s="2"/>
      <c r="J47" s="6">
        <f t="shared" si="1"/>
        <v>0</v>
      </c>
      <c r="K47" s="2"/>
      <c r="L47" s="2">
        <f t="shared" si="2"/>
        <v>770.62000000000012</v>
      </c>
      <c r="M47" s="2"/>
      <c r="N47" s="6">
        <f t="shared" si="3"/>
        <v>3.4257390531229168</v>
      </c>
      <c r="O47" s="14"/>
      <c r="P47" s="2">
        <f>SUM(OSRRefP22_4x_0)</f>
        <v>1445.93</v>
      </c>
      <c r="Q47" s="2"/>
      <c r="R47" s="6">
        <f t="shared" si="4"/>
        <v>5.6160451107552474E-2</v>
      </c>
      <c r="S47" s="2"/>
      <c r="T47" s="2">
        <f>SUM(OSRRefT22_4x_0)</f>
        <v>1123.23</v>
      </c>
      <c r="U47" s="2"/>
      <c r="V47" s="6">
        <f t="shared" si="5"/>
        <v>0.45356091533513426</v>
      </c>
      <c r="W47" s="2"/>
      <c r="X47" s="2">
        <f t="shared" si="6"/>
        <v>322.70000000000005</v>
      </c>
      <c r="Y47" s="2"/>
      <c r="Z47" s="6">
        <f t="shared" si="7"/>
        <v>0.28729645753763705</v>
      </c>
    </row>
    <row r="48" spans="1:26" s="69" customFormat="1" ht="15" hidden="1" customHeight="1" outlineLevel="2" x14ac:dyDescent="0.3">
      <c r="A48" s="26"/>
      <c r="B48" s="12" t="str">
        <f>CONCATENATE("          ","6381"," - ","BANK/CREDIT CARD FEES")</f>
        <v xml:space="preserve">          6381 - BANK/CREDIT CARD FEES</v>
      </c>
      <c r="C48" s="12"/>
      <c r="D48" s="8">
        <v>995.57</v>
      </c>
      <c r="E48" s="3"/>
      <c r="F48" s="7">
        <f t="shared" si="0"/>
        <v>3.8668303658646007E-2</v>
      </c>
      <c r="G48" s="3"/>
      <c r="H48" s="8">
        <v>224.95</v>
      </c>
      <c r="I48" s="3"/>
      <c r="J48" s="7">
        <f t="shared" si="1"/>
        <v>0</v>
      </c>
      <c r="K48" s="3"/>
      <c r="L48" s="8">
        <f t="shared" si="2"/>
        <v>770.62000000000012</v>
      </c>
      <c r="M48" s="3"/>
      <c r="N48" s="7">
        <f t="shared" si="3"/>
        <v>3.4257390531229168</v>
      </c>
      <c r="O48" s="12"/>
      <c r="P48" s="8">
        <v>1445.93</v>
      </c>
      <c r="Q48" s="3"/>
      <c r="R48" s="7">
        <f t="shared" si="4"/>
        <v>5.6160451107552474E-2</v>
      </c>
      <c r="S48" s="3"/>
      <c r="T48" s="8">
        <v>1123.23</v>
      </c>
      <c r="U48" s="3"/>
      <c r="V48" s="7">
        <f t="shared" si="5"/>
        <v>0.45356091533513426</v>
      </c>
      <c r="W48" s="3"/>
      <c r="X48" s="8">
        <f t="shared" si="6"/>
        <v>322.70000000000005</v>
      </c>
      <c r="Y48" s="3"/>
      <c r="Z48" s="7">
        <f t="shared" si="7"/>
        <v>0.28729645753763705</v>
      </c>
    </row>
    <row r="49" spans="1:26" s="68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SUM(OSRRefD22_5x_0)</f>
        <v>264.60000000000002</v>
      </c>
      <c r="E49" s="2"/>
      <c r="F49" s="6">
        <f t="shared" si="0"/>
        <v>1.027716097118006E-2</v>
      </c>
      <c r="G49" s="2"/>
      <c r="H49" s="2">
        <f>SUM(OSRRefH22_5x_0)</f>
        <v>1075.3699999999999</v>
      </c>
      <c r="I49" s="2"/>
      <c r="J49" s="6">
        <f t="shared" si="1"/>
        <v>0</v>
      </c>
      <c r="K49" s="2"/>
      <c r="L49" s="2">
        <f t="shared" si="2"/>
        <v>-810.76999999999987</v>
      </c>
      <c r="M49" s="2"/>
      <c r="N49" s="6">
        <f t="shared" si="3"/>
        <v>-0.753945153761031</v>
      </c>
      <c r="O49" s="14"/>
      <c r="P49" s="2">
        <f>SUM(OSRRefP22_5x_0)</f>
        <v>4549.16</v>
      </c>
      <c r="Q49" s="2"/>
      <c r="R49" s="6">
        <f t="shared" si="4"/>
        <v>0.17669104158599197</v>
      </c>
      <c r="S49" s="2"/>
      <c r="T49" s="2">
        <f>SUM(OSRRefT22_5x_0)</f>
        <v>8602.9599999999991</v>
      </c>
      <c r="U49" s="2"/>
      <c r="V49" s="6">
        <f t="shared" si="5"/>
        <v>3.4738801600665457</v>
      </c>
      <c r="W49" s="2"/>
      <c r="X49" s="2">
        <f t="shared" si="6"/>
        <v>-4053.7999999999993</v>
      </c>
      <c r="Y49" s="2"/>
      <c r="Z49" s="6">
        <f t="shared" si="7"/>
        <v>-0.47120990914754918</v>
      </c>
    </row>
    <row r="50" spans="1:26" s="69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264.60000000000002</v>
      </c>
      <c r="E50" s="3"/>
      <c r="F50" s="7">
        <f t="shared" si="0"/>
        <v>1.027716097118006E-2</v>
      </c>
      <c r="G50" s="3"/>
      <c r="H50" s="8">
        <v>1075.3699999999999</v>
      </c>
      <c r="I50" s="3"/>
      <c r="J50" s="7">
        <f t="shared" si="1"/>
        <v>0</v>
      </c>
      <c r="K50" s="3"/>
      <c r="L50" s="8">
        <f t="shared" si="2"/>
        <v>-810.76999999999987</v>
      </c>
      <c r="M50" s="3"/>
      <c r="N50" s="7">
        <f t="shared" si="3"/>
        <v>-0.753945153761031</v>
      </c>
      <c r="O50" s="12"/>
      <c r="P50" s="8">
        <v>4549.16</v>
      </c>
      <c r="Q50" s="3"/>
      <c r="R50" s="7">
        <f t="shared" si="4"/>
        <v>0.17669104158599197</v>
      </c>
      <c r="S50" s="3"/>
      <c r="T50" s="8">
        <v>8602.9599999999991</v>
      </c>
      <c r="U50" s="3"/>
      <c r="V50" s="7">
        <f t="shared" si="5"/>
        <v>3.4738801600665457</v>
      </c>
      <c r="W50" s="3"/>
      <c r="X50" s="8">
        <f t="shared" si="6"/>
        <v>-4053.7999999999993</v>
      </c>
      <c r="Y50" s="3"/>
      <c r="Z50" s="7">
        <f t="shared" si="7"/>
        <v>-0.47120990914754918</v>
      </c>
    </row>
    <row r="51" spans="1:26" s="68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si="0"/>
        <v>0</v>
      </c>
      <c r="G51" s="2"/>
      <c r="H51" s="2">
        <f>SUM(OSRRefH22_6x_0)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SUM(OSRRefP22_6x_0)</f>
        <v>1153.93</v>
      </c>
      <c r="Q51" s="2"/>
      <c r="R51" s="6">
        <f t="shared" si="4"/>
        <v>4.4819064094761177E-2</v>
      </c>
      <c r="S51" s="2"/>
      <c r="T51" s="2">
        <f>SUM(OSRRefT22_6x_0)</f>
        <v>1138.94</v>
      </c>
      <c r="U51" s="2"/>
      <c r="V51" s="6">
        <f t="shared" si="5"/>
        <v>0.4599046223051359</v>
      </c>
      <c r="W51" s="2"/>
      <c r="X51" s="2">
        <f t="shared" si="6"/>
        <v>14.990000000000009</v>
      </c>
      <c r="Y51" s="2"/>
      <c r="Z51" s="6">
        <f t="shared" si="7"/>
        <v>1.3161360563330823E-2</v>
      </c>
    </row>
    <row r="52" spans="1:26" s="69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1153.93</v>
      </c>
      <c r="Q52" s="3"/>
      <c r="R52" s="7">
        <f t="shared" si="4"/>
        <v>4.4819064094761177E-2</v>
      </c>
      <c r="S52" s="3"/>
      <c r="T52" s="8">
        <v>1138.94</v>
      </c>
      <c r="U52" s="3"/>
      <c r="V52" s="7">
        <f t="shared" si="5"/>
        <v>0.4599046223051359</v>
      </c>
      <c r="W52" s="3"/>
      <c r="X52" s="8">
        <f t="shared" si="6"/>
        <v>14.990000000000009</v>
      </c>
      <c r="Y52" s="3"/>
      <c r="Z52" s="7">
        <f t="shared" si="7"/>
        <v>1.3161360563330823E-2</v>
      </c>
    </row>
    <row r="53" spans="1:26" s="68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SUM(OSRRefD22_7x_0)</f>
        <v>1570.67</v>
      </c>
      <c r="E53" s="2"/>
      <c r="F53" s="6">
        <f t="shared" si="0"/>
        <v>6.1005398422537362E-2</v>
      </c>
      <c r="G53" s="2"/>
      <c r="H53" s="2">
        <f>SUM(OSRRefH22_7x_0)</f>
        <v>0</v>
      </c>
      <c r="I53" s="2"/>
      <c r="J53" s="6">
        <f t="shared" si="1"/>
        <v>0</v>
      </c>
      <c r="K53" s="2"/>
      <c r="L53" s="2">
        <f t="shared" si="2"/>
        <v>1570.67</v>
      </c>
      <c r="M53" s="2"/>
      <c r="N53" s="6">
        <f t="shared" si="3"/>
        <v>0</v>
      </c>
      <c r="O53" s="14"/>
      <c r="P53" s="2">
        <f>SUM(OSRRefP22_7x_0)</f>
        <v>1668.5</v>
      </c>
      <c r="Q53" s="2"/>
      <c r="R53" s="6">
        <f t="shared" si="4"/>
        <v>6.4805151475487266E-2</v>
      </c>
      <c r="S53" s="2"/>
      <c r="T53" s="2">
        <f>SUM(OSRRefT22_7x_0)</f>
        <v>492.62</v>
      </c>
      <c r="U53" s="2"/>
      <c r="V53" s="6">
        <f t="shared" si="5"/>
        <v>0.19892023727321548</v>
      </c>
      <c r="W53" s="2"/>
      <c r="X53" s="2">
        <f t="shared" si="6"/>
        <v>1175.8800000000001</v>
      </c>
      <c r="Y53" s="2"/>
      <c r="Z53" s="6">
        <f t="shared" si="7"/>
        <v>2.386992001948764</v>
      </c>
    </row>
    <row r="54" spans="1:26" s="69" customFormat="1" ht="15" hidden="1" customHeight="1" outlineLevel="2" x14ac:dyDescent="0.3">
      <c r="A54" s="26"/>
      <c r="B54" s="12" t="str">
        <f>CONCATENATE("          ","6373"," - ","MAINTENANCE CONTRACTS")</f>
        <v xml:space="preserve">          6373 - MAINTENANCE CONTRACTS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97.83</v>
      </c>
      <c r="Q54" s="3"/>
      <c r="R54" s="7">
        <f t="shared" si="4"/>
        <v>3.7997530529499065E-3</v>
      </c>
      <c r="S54" s="3"/>
      <c r="T54" s="8">
        <v>175.06</v>
      </c>
      <c r="U54" s="3"/>
      <c r="V54" s="7">
        <f t="shared" si="5"/>
        <v>7.0689327954709724E-2</v>
      </c>
      <c r="W54" s="3"/>
      <c r="X54" s="8">
        <f t="shared" si="6"/>
        <v>-77.23</v>
      </c>
      <c r="Y54" s="3"/>
      <c r="Z54" s="7">
        <f t="shared" si="7"/>
        <v>-0.44116302981834798</v>
      </c>
    </row>
    <row r="55" spans="1:26" s="69" customFormat="1" ht="15" hidden="1" customHeight="1" outlineLevel="2" x14ac:dyDescent="0.3">
      <c r="A55" s="26"/>
      <c r="B55" s="12" t="str">
        <f>CONCATENATE("          ","6375"," - ","OUTSIDE REPAIRS &amp; MAINTENANCE")</f>
        <v xml:space="preserve">          6375 - OUTSIDE REPAIRS &amp; MAINTENANCE</v>
      </c>
      <c r="C55" s="12"/>
      <c r="D55" s="8">
        <v>1570.67</v>
      </c>
      <c r="E55" s="3"/>
      <c r="F55" s="7">
        <f t="shared" si="0"/>
        <v>6.1005398422537362E-2</v>
      </c>
      <c r="G55" s="3"/>
      <c r="H55" s="8"/>
      <c r="I55" s="3"/>
      <c r="J55" s="7">
        <f t="shared" si="1"/>
        <v>0</v>
      </c>
      <c r="K55" s="3"/>
      <c r="L55" s="8">
        <f t="shared" si="2"/>
        <v>1570.67</v>
      </c>
      <c r="M55" s="3"/>
      <c r="N55" s="7">
        <f t="shared" si="3"/>
        <v>0</v>
      </c>
      <c r="O55" s="12"/>
      <c r="P55" s="8">
        <v>1570.67</v>
      </c>
      <c r="Q55" s="3"/>
      <c r="R55" s="7">
        <f t="shared" si="4"/>
        <v>6.1005398422537362E-2</v>
      </c>
      <c r="S55" s="3"/>
      <c r="T55" s="8">
        <v>317.56</v>
      </c>
      <c r="U55" s="3"/>
      <c r="V55" s="7">
        <f t="shared" si="5"/>
        <v>0.12823090931850575</v>
      </c>
      <c r="W55" s="3"/>
      <c r="X55" s="8">
        <f t="shared" si="6"/>
        <v>1253.1100000000001</v>
      </c>
      <c r="Y55" s="3"/>
      <c r="Z55" s="7">
        <f t="shared" si="7"/>
        <v>3.9460574379644795</v>
      </c>
    </row>
    <row r="56" spans="1:26" s="68" customFormat="1" ht="15" customHeight="1" outlineLevel="1" collapsed="1" x14ac:dyDescent="0.3">
      <c r="A56" s="25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2">
        <f>SUM(OSRRefD22_8x_0)</f>
        <v>0</v>
      </c>
      <c r="E56" s="2"/>
      <c r="F56" s="6">
        <f t="shared" si="0"/>
        <v>0</v>
      </c>
      <c r="G56" s="2"/>
      <c r="H56" s="2">
        <f>SUM(OSRRefH22_8x_0)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SUM(OSRRefP22_8x_0)</f>
        <v>0</v>
      </c>
      <c r="Q56" s="2"/>
      <c r="R56" s="6">
        <f t="shared" si="4"/>
        <v>0</v>
      </c>
      <c r="S56" s="2"/>
      <c r="T56" s="2">
        <f>SUM(OSRRefT22_8x_0)</f>
        <v>185.7</v>
      </c>
      <c r="U56" s="2"/>
      <c r="V56" s="6">
        <f t="shared" si="5"/>
        <v>7.4985766029873155E-2</v>
      </c>
      <c r="W56" s="2"/>
      <c r="X56" s="2">
        <f t="shared" si="6"/>
        <v>-185.7</v>
      </c>
      <c r="Y56" s="2"/>
      <c r="Z56" s="6">
        <f t="shared" si="7"/>
        <v>-1</v>
      </c>
    </row>
    <row r="57" spans="1:26" s="69" customFormat="1" ht="15" hidden="1" customHeight="1" outlineLevel="2" x14ac:dyDescent="0.3">
      <c r="A57" s="26"/>
      <c r="B57" s="12" t="str">
        <f>CONCATENATE("          ","6254"," - ","ROYALTY &amp; COMMISSIONS")</f>
        <v xml:space="preserve">          6254 - ROYALTY &amp; COMMISSIONS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/>
      <c r="Q57" s="3"/>
      <c r="R57" s="7">
        <f t="shared" si="4"/>
        <v>0</v>
      </c>
      <c r="S57" s="3"/>
      <c r="T57" s="8">
        <v>185.7</v>
      </c>
      <c r="U57" s="3"/>
      <c r="V57" s="7">
        <f t="shared" si="5"/>
        <v>7.4985766029873155E-2</v>
      </c>
      <c r="W57" s="3"/>
      <c r="X57" s="8">
        <f t="shared" si="6"/>
        <v>-185.7</v>
      </c>
      <c r="Y57" s="3"/>
      <c r="Z57" s="7">
        <f t="shared" si="7"/>
        <v>-1</v>
      </c>
    </row>
    <row r="58" spans="1:26" s="68" customFormat="1" ht="15" customHeight="1" outlineLevel="1" collapsed="1" x14ac:dyDescent="0.3">
      <c r="A58" s="25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103.2</v>
      </c>
      <c r="E58" s="2"/>
      <c r="F58" s="6">
        <f t="shared" si="0"/>
        <v>4.0083258209591167E-3</v>
      </c>
      <c r="G58" s="2"/>
      <c r="H58" s="2">
        <f>SUM(OSRRefH22_9x_0)</f>
        <v>0</v>
      </c>
      <c r="I58" s="2"/>
      <c r="J58" s="6">
        <f t="shared" si="1"/>
        <v>0</v>
      </c>
      <c r="K58" s="2"/>
      <c r="L58" s="2">
        <f t="shared" si="2"/>
        <v>103.2</v>
      </c>
      <c r="M58" s="2"/>
      <c r="N58" s="6">
        <f t="shared" si="3"/>
        <v>0</v>
      </c>
      <c r="O58" s="14"/>
      <c r="P58" s="2">
        <f>SUM(OSRRefP22_9x_0)</f>
        <v>206.4</v>
      </c>
      <c r="Q58" s="2"/>
      <c r="R58" s="6">
        <f t="shared" si="4"/>
        <v>8.0166516419182335E-3</v>
      </c>
      <c r="S58" s="2"/>
      <c r="T58" s="2">
        <f>SUM(OSRRefT22_9x_0)</f>
        <v>-63.319999999999993</v>
      </c>
      <c r="U58" s="2"/>
      <c r="V58" s="6">
        <f t="shared" si="5"/>
        <v>-2.556865215407414E-2</v>
      </c>
      <c r="W58" s="2"/>
      <c r="X58" s="2">
        <f t="shared" si="6"/>
        <v>269.72000000000003</v>
      </c>
      <c r="Y58" s="2"/>
      <c r="Z58" s="6">
        <f t="shared" si="7"/>
        <v>-4.259633607075175</v>
      </c>
    </row>
    <row r="59" spans="1:26" s="69" customFormat="1" ht="15" hidden="1" customHeight="1" outlineLevel="2" x14ac:dyDescent="0.3">
      <c r="A59" s="26"/>
      <c r="B59" s="12" t="str">
        <f>CONCATENATE("          ","6282"," - ","JANITORIAL/EXTERMINATOR EXPENS")</f>
        <v xml:space="preserve">          6282 - JANITORIAL/EXTERMINATOR EXPENS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/>
      <c r="Q59" s="3"/>
      <c r="R59" s="7">
        <f t="shared" si="4"/>
        <v>0</v>
      </c>
      <c r="S59" s="3"/>
      <c r="T59" s="8">
        <v>82</v>
      </c>
      <c r="U59" s="3"/>
      <c r="V59" s="7">
        <f t="shared" si="5"/>
        <v>3.3111646819868598E-2</v>
      </c>
      <c r="W59" s="3"/>
      <c r="X59" s="8">
        <f t="shared" si="6"/>
        <v>-82</v>
      </c>
      <c r="Y59" s="3"/>
      <c r="Z59" s="7">
        <f t="shared" si="7"/>
        <v>-1</v>
      </c>
    </row>
    <row r="60" spans="1:26" s="69" customFormat="1" ht="15" hidden="1" customHeight="1" outlineLevel="2" x14ac:dyDescent="0.3">
      <c r="A60" s="26"/>
      <c r="B60" s="12" t="str">
        <f>CONCATENATE("          ","6285"," - ","JANITORIAL SERVICES")</f>
        <v xml:space="preserve">          6285 - JANITORIAL SERVICES</v>
      </c>
      <c r="C60" s="12"/>
      <c r="D60" s="8">
        <v>103.2</v>
      </c>
      <c r="E60" s="3"/>
      <c r="F60" s="7">
        <f t="shared" si="0"/>
        <v>4.0083258209591167E-3</v>
      </c>
      <c r="G60" s="3"/>
      <c r="H60" s="8"/>
      <c r="I60" s="3"/>
      <c r="J60" s="7">
        <f t="shared" si="1"/>
        <v>0</v>
      </c>
      <c r="K60" s="3"/>
      <c r="L60" s="8">
        <f t="shared" si="2"/>
        <v>103.2</v>
      </c>
      <c r="M60" s="3"/>
      <c r="N60" s="7">
        <f t="shared" si="3"/>
        <v>0</v>
      </c>
      <c r="O60" s="12"/>
      <c r="P60" s="8">
        <v>206.4</v>
      </c>
      <c r="Q60" s="3"/>
      <c r="R60" s="7">
        <f t="shared" si="4"/>
        <v>8.0166516419182335E-3</v>
      </c>
      <c r="S60" s="3"/>
      <c r="T60" s="8">
        <v>-145.32</v>
      </c>
      <c r="U60" s="3"/>
      <c r="V60" s="7">
        <f t="shared" si="5"/>
        <v>-5.8680298973942738E-2</v>
      </c>
      <c r="W60" s="3"/>
      <c r="X60" s="8">
        <f t="shared" si="6"/>
        <v>351.72</v>
      </c>
      <c r="Y60" s="3"/>
      <c r="Z60" s="7">
        <f t="shared" si="7"/>
        <v>-2.420313790255987</v>
      </c>
    </row>
    <row r="61" spans="1:26" s="68" customFormat="1" ht="15" customHeight="1" outlineLevel="1" collapsed="1" x14ac:dyDescent="0.3">
      <c r="A61" s="25"/>
      <c r="B61" s="14" t="str">
        <f>CONCATENATE("     ","Supplies                                          ")</f>
        <v xml:space="preserve">     Supplies                                          </v>
      </c>
      <c r="C61" s="14"/>
      <c r="D61" s="2">
        <f>SUM(OSRRefD22_10x_0)</f>
        <v>444.63</v>
      </c>
      <c r="E61" s="2"/>
      <c r="F61" s="6">
        <f t="shared" si="0"/>
        <v>1.7269592148963682E-2</v>
      </c>
      <c r="G61" s="2"/>
      <c r="H61" s="2">
        <f>SUM(OSRRefH22_10x_0)</f>
        <v>0</v>
      </c>
      <c r="I61" s="2"/>
      <c r="J61" s="6">
        <f t="shared" si="1"/>
        <v>0</v>
      </c>
      <c r="K61" s="2"/>
      <c r="L61" s="2">
        <f t="shared" si="2"/>
        <v>444.63</v>
      </c>
      <c r="M61" s="2"/>
      <c r="N61" s="6">
        <f t="shared" si="3"/>
        <v>0</v>
      </c>
      <c r="O61" s="14"/>
      <c r="P61" s="2">
        <f>SUM(OSRRefP22_10x_0)</f>
        <v>1684.5700000000002</v>
      </c>
      <c r="Q61" s="2"/>
      <c r="R61" s="6">
        <f t="shared" si="4"/>
        <v>6.5429316164855617E-2</v>
      </c>
      <c r="S61" s="2"/>
      <c r="T61" s="2">
        <f>SUM(OSRRefT22_10x_0)</f>
        <v>328.55</v>
      </c>
      <c r="U61" s="2"/>
      <c r="V61" s="6">
        <f t="shared" si="5"/>
        <v>0.13266867759351011</v>
      </c>
      <c r="W61" s="2"/>
      <c r="X61" s="2">
        <f t="shared" si="6"/>
        <v>1356.0200000000002</v>
      </c>
      <c r="Y61" s="2"/>
      <c r="Z61" s="6">
        <f t="shared" si="7"/>
        <v>4.1272865621670984</v>
      </c>
    </row>
    <row r="62" spans="1:26" s="69" customFormat="1" ht="15" hidden="1" customHeight="1" outlineLevel="2" x14ac:dyDescent="0.3">
      <c r="A62" s="26"/>
      <c r="B62" s="12" t="str">
        <f>CONCATENATE("          ","6234"," - ","EXPENDABLE SUPPLIES &amp; EQUIPMEN")</f>
        <v xml:space="preserve">          6234 - EXPENDABLE SUPPLIES &amp; EQUIPMEN</v>
      </c>
      <c r="C62" s="12"/>
      <c r="D62" s="8"/>
      <c r="E62" s="3"/>
      <c r="F62" s="7">
        <f t="shared" si="0"/>
        <v>0</v>
      </c>
      <c r="G62" s="3"/>
      <c r="H62" s="8"/>
      <c r="I62" s="3"/>
      <c r="J62" s="7">
        <f t="shared" si="1"/>
        <v>0</v>
      </c>
      <c r="K62" s="3"/>
      <c r="L62" s="8">
        <f t="shared" si="2"/>
        <v>0</v>
      </c>
      <c r="M62" s="3"/>
      <c r="N62" s="7">
        <f t="shared" si="3"/>
        <v>0</v>
      </c>
      <c r="O62" s="12"/>
      <c r="P62" s="8">
        <v>1194.8900000000001</v>
      </c>
      <c r="Q62" s="3"/>
      <c r="R62" s="7">
        <f t="shared" si="4"/>
        <v>4.640996550587053E-2</v>
      </c>
      <c r="S62" s="3"/>
      <c r="T62" s="8"/>
      <c r="U62" s="3"/>
      <c r="V62" s="7">
        <f t="shared" si="5"/>
        <v>0</v>
      </c>
      <c r="W62" s="3"/>
      <c r="X62" s="8">
        <f t="shared" si="6"/>
        <v>1194.8900000000001</v>
      </c>
      <c r="Y62" s="3"/>
      <c r="Z62" s="7">
        <f t="shared" si="7"/>
        <v>0</v>
      </c>
    </row>
    <row r="63" spans="1:26" s="69" customFormat="1" ht="15" hidden="1" customHeight="1" outlineLevel="2" x14ac:dyDescent="0.3">
      <c r="A63" s="26"/>
      <c r="B63" s="12" t="str">
        <f>CONCATENATE("          ","6235"," - ","COVID-19 EXPENSES")</f>
        <v xml:space="preserve">          6235 - COVID-19 EXPENSES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/>
      <c r="Q63" s="3"/>
      <c r="R63" s="7">
        <f t="shared" si="4"/>
        <v>0</v>
      </c>
      <c r="S63" s="3"/>
      <c r="T63" s="8">
        <v>207.27</v>
      </c>
      <c r="U63" s="3"/>
      <c r="V63" s="7">
        <f t="shared" si="5"/>
        <v>8.3695744345782502E-2</v>
      </c>
      <c r="W63" s="3"/>
      <c r="X63" s="8">
        <f t="shared" si="6"/>
        <v>-207.27</v>
      </c>
      <c r="Y63" s="3"/>
      <c r="Z63" s="7">
        <f t="shared" si="7"/>
        <v>-1</v>
      </c>
    </row>
    <row r="64" spans="1:26" s="69" customFormat="1" ht="15" hidden="1" customHeight="1" outlineLevel="2" x14ac:dyDescent="0.3">
      <c r="A64" s="26"/>
      <c r="B64" s="12" t="str">
        <f>CONCATENATE("          ","6237"," - ","JANITORIAL SUPPLIES")</f>
        <v xml:space="preserve">          6237 - JANITORIAL SUPPLIES</v>
      </c>
      <c r="C64" s="12"/>
      <c r="D64" s="8"/>
      <c r="E64" s="3"/>
      <c r="F64" s="7">
        <f t="shared" si="0"/>
        <v>0</v>
      </c>
      <c r="G64" s="3"/>
      <c r="H64" s="8"/>
      <c r="I64" s="3"/>
      <c r="J64" s="7">
        <f t="shared" si="1"/>
        <v>0</v>
      </c>
      <c r="K64" s="3"/>
      <c r="L64" s="8">
        <f t="shared" si="2"/>
        <v>0</v>
      </c>
      <c r="M64" s="3"/>
      <c r="N64" s="7">
        <f t="shared" si="3"/>
        <v>0</v>
      </c>
      <c r="O64" s="12"/>
      <c r="P64" s="8">
        <v>38.340000000000003</v>
      </c>
      <c r="Q64" s="3"/>
      <c r="R64" s="7">
        <f t="shared" si="4"/>
        <v>1.4891396509260904E-3</v>
      </c>
      <c r="S64" s="3"/>
      <c r="T64" s="8"/>
      <c r="U64" s="3"/>
      <c r="V64" s="7">
        <f t="shared" si="5"/>
        <v>0</v>
      </c>
      <c r="W64" s="3"/>
      <c r="X64" s="8">
        <f t="shared" si="6"/>
        <v>38.340000000000003</v>
      </c>
      <c r="Y64" s="3"/>
      <c r="Z64" s="7">
        <f t="shared" si="7"/>
        <v>0</v>
      </c>
    </row>
    <row r="65" spans="1:26" s="69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13.23</v>
      </c>
      <c r="E65" s="3"/>
      <c r="F65" s="7">
        <f t="shared" si="0"/>
        <v>5.1385804855900302E-4</v>
      </c>
      <c r="G65" s="3"/>
      <c r="H65" s="8"/>
      <c r="I65" s="3"/>
      <c r="J65" s="7">
        <f t="shared" si="1"/>
        <v>0</v>
      </c>
      <c r="K65" s="3"/>
      <c r="L65" s="8">
        <f t="shared" si="2"/>
        <v>13.23</v>
      </c>
      <c r="M65" s="3"/>
      <c r="N65" s="7">
        <f t="shared" si="3"/>
        <v>0</v>
      </c>
      <c r="O65" s="12"/>
      <c r="P65" s="8">
        <v>19.940000000000001</v>
      </c>
      <c r="Q65" s="3"/>
      <c r="R65" s="7">
        <f t="shared" si="4"/>
        <v>7.7447690765430996E-4</v>
      </c>
      <c r="S65" s="3"/>
      <c r="T65" s="8"/>
      <c r="U65" s="3"/>
      <c r="V65" s="7">
        <f t="shared" si="5"/>
        <v>0</v>
      </c>
      <c r="W65" s="3"/>
      <c r="X65" s="8">
        <f t="shared" si="6"/>
        <v>19.940000000000001</v>
      </c>
      <c r="Y65" s="3"/>
      <c r="Z65" s="7">
        <f t="shared" si="7"/>
        <v>0</v>
      </c>
    </row>
    <row r="66" spans="1:26" s="69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8">
        <v>431.4</v>
      </c>
      <c r="E66" s="3"/>
      <c r="F66" s="7">
        <f t="shared" si="0"/>
        <v>1.6755734100404675E-2</v>
      </c>
      <c r="G66" s="3"/>
      <c r="H66" s="8"/>
      <c r="I66" s="3"/>
      <c r="J66" s="7">
        <f t="shared" si="1"/>
        <v>0</v>
      </c>
      <c r="K66" s="3"/>
      <c r="L66" s="8">
        <f t="shared" si="2"/>
        <v>431.4</v>
      </c>
      <c r="M66" s="3"/>
      <c r="N66" s="7">
        <f t="shared" si="3"/>
        <v>0</v>
      </c>
      <c r="O66" s="12"/>
      <c r="P66" s="8">
        <v>431.4</v>
      </c>
      <c r="Q66" s="3"/>
      <c r="R66" s="7">
        <f t="shared" si="4"/>
        <v>1.6755734100404675E-2</v>
      </c>
      <c r="S66" s="3"/>
      <c r="T66" s="8">
        <v>121.28</v>
      </c>
      <c r="U66" s="3"/>
      <c r="V66" s="7">
        <f t="shared" si="5"/>
        <v>4.8972933247727606E-2</v>
      </c>
      <c r="W66" s="3"/>
      <c r="X66" s="8">
        <f t="shared" si="6"/>
        <v>310.12</v>
      </c>
      <c r="Y66" s="3"/>
      <c r="Z66" s="7">
        <f t="shared" si="7"/>
        <v>2.5570580474934035</v>
      </c>
    </row>
    <row r="67" spans="1:26" s="68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SUM(OSRRefD22_11x_0)</f>
        <v>51.5</v>
      </c>
      <c r="E67" s="2"/>
      <c r="F67" s="6">
        <f t="shared" si="0"/>
        <v>2.0002788738313418E-3</v>
      </c>
      <c r="G67" s="2"/>
      <c r="H67" s="2">
        <f>SUM(OSRRefH22_11x_0)</f>
        <v>51.5</v>
      </c>
      <c r="I67" s="2"/>
      <c r="J67" s="6">
        <f t="shared" si="1"/>
        <v>0</v>
      </c>
      <c r="K67" s="2"/>
      <c r="L67" s="2">
        <f t="shared" si="2"/>
        <v>0</v>
      </c>
      <c r="M67" s="2"/>
      <c r="N67" s="6">
        <f t="shared" si="3"/>
        <v>0</v>
      </c>
      <c r="O67" s="14"/>
      <c r="P67" s="2">
        <f>SUM(OSRRefP22_11x_0)</f>
        <v>338.5</v>
      </c>
      <c r="Q67" s="2"/>
      <c r="R67" s="6">
        <f t="shared" si="4"/>
        <v>1.3147464054211831E-2</v>
      </c>
      <c r="S67" s="2"/>
      <c r="T67" s="2">
        <f>SUM(OSRRefT22_11x_0)</f>
        <v>735.5</v>
      </c>
      <c r="U67" s="2"/>
      <c r="V67" s="6">
        <f t="shared" si="5"/>
        <v>0.2969953199513824</v>
      </c>
      <c r="W67" s="2"/>
      <c r="X67" s="2">
        <f t="shared" si="6"/>
        <v>-397</v>
      </c>
      <c r="Y67" s="2"/>
      <c r="Z67" s="6">
        <f t="shared" si="7"/>
        <v>-0.53976886471787899</v>
      </c>
    </row>
    <row r="68" spans="1:26" s="69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8">
        <v>51.5</v>
      </c>
      <c r="E68" s="3"/>
      <c r="F68" s="7">
        <f t="shared" si="0"/>
        <v>2.0002788738313418E-3</v>
      </c>
      <c r="G68" s="3"/>
      <c r="H68" s="8">
        <v>51.5</v>
      </c>
      <c r="I68" s="3"/>
      <c r="J68" s="7">
        <f t="shared" si="1"/>
        <v>0</v>
      </c>
      <c r="K68" s="3"/>
      <c r="L68" s="8">
        <f t="shared" si="2"/>
        <v>0</v>
      </c>
      <c r="M68" s="3"/>
      <c r="N68" s="7">
        <f t="shared" si="3"/>
        <v>0</v>
      </c>
      <c r="O68" s="12"/>
      <c r="P68" s="8">
        <v>338.5</v>
      </c>
      <c r="Q68" s="3"/>
      <c r="R68" s="7">
        <f t="shared" si="4"/>
        <v>1.3147464054211831E-2</v>
      </c>
      <c r="S68" s="3"/>
      <c r="T68" s="8">
        <v>735.5</v>
      </c>
      <c r="U68" s="3"/>
      <c r="V68" s="7">
        <f t="shared" si="5"/>
        <v>0.2969953199513824</v>
      </c>
      <c r="W68" s="3"/>
      <c r="X68" s="8">
        <f t="shared" si="6"/>
        <v>-397</v>
      </c>
      <c r="Y68" s="3"/>
      <c r="Z68" s="7">
        <f t="shared" si="7"/>
        <v>-0.53976886471787899</v>
      </c>
    </row>
    <row r="69" spans="1:26" s="68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SUM(OSRRefD22_12x_0)</f>
        <v>80</v>
      </c>
      <c r="E69" s="2"/>
      <c r="F69" s="6">
        <f t="shared" si="0"/>
        <v>3.1072293185729584E-3</v>
      </c>
      <c r="G69" s="2"/>
      <c r="H69" s="2">
        <f>SUM(OSRRefH22_12x_0)</f>
        <v>0</v>
      </c>
      <c r="I69" s="2"/>
      <c r="J69" s="6">
        <f t="shared" si="1"/>
        <v>0</v>
      </c>
      <c r="K69" s="2"/>
      <c r="L69" s="2">
        <f t="shared" si="2"/>
        <v>80</v>
      </c>
      <c r="M69" s="2"/>
      <c r="N69" s="6">
        <f t="shared" si="3"/>
        <v>0</v>
      </c>
      <c r="O69" s="14"/>
      <c r="P69" s="2">
        <f>SUM(OSRRefP22_12x_0)</f>
        <v>80</v>
      </c>
      <c r="Q69" s="2"/>
      <c r="R69" s="6">
        <f t="shared" si="4"/>
        <v>3.1072293185729584E-3</v>
      </c>
      <c r="S69" s="2"/>
      <c r="T69" s="2">
        <f>SUM(OSRRefT22_12x_0)</f>
        <v>0</v>
      </c>
      <c r="U69" s="2"/>
      <c r="V69" s="6">
        <f t="shared" si="5"/>
        <v>0</v>
      </c>
      <c r="W69" s="2"/>
      <c r="X69" s="2">
        <f t="shared" si="6"/>
        <v>80</v>
      </c>
      <c r="Y69" s="2"/>
      <c r="Z69" s="6">
        <f t="shared" si="7"/>
        <v>0</v>
      </c>
    </row>
    <row r="70" spans="1:26" s="69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8">
        <v>80</v>
      </c>
      <c r="E70" s="3"/>
      <c r="F70" s="7">
        <f t="shared" si="0"/>
        <v>3.1072293185729584E-3</v>
      </c>
      <c r="G70" s="3"/>
      <c r="H70" s="8"/>
      <c r="I70" s="3"/>
      <c r="J70" s="7">
        <f t="shared" si="1"/>
        <v>0</v>
      </c>
      <c r="K70" s="3"/>
      <c r="L70" s="8">
        <f t="shared" si="2"/>
        <v>80</v>
      </c>
      <c r="M70" s="3"/>
      <c r="N70" s="7">
        <f t="shared" si="3"/>
        <v>0</v>
      </c>
      <c r="O70" s="12"/>
      <c r="P70" s="8">
        <v>80</v>
      </c>
      <c r="Q70" s="3"/>
      <c r="R70" s="7">
        <f t="shared" si="4"/>
        <v>3.1072293185729584E-3</v>
      </c>
      <c r="S70" s="3"/>
      <c r="T70" s="8"/>
      <c r="U70" s="3"/>
      <c r="V70" s="7">
        <f t="shared" si="5"/>
        <v>0</v>
      </c>
      <c r="W70" s="3"/>
      <c r="X70" s="8">
        <f t="shared" si="6"/>
        <v>80</v>
      </c>
      <c r="Y70" s="3"/>
      <c r="Z70" s="7">
        <f t="shared" si="7"/>
        <v>0</v>
      </c>
    </row>
    <row r="71" spans="1:26" s="68" customFormat="1" ht="15" customHeight="1" outlineLevel="1" collapsed="1" x14ac:dyDescent="0.3">
      <c r="A71" s="25"/>
      <c r="B71" s="14" t="str">
        <f>CONCATENATE("     ","Utilities                                         ")</f>
        <v xml:space="preserve">     Utilities                                         </v>
      </c>
      <c r="C71" s="14"/>
      <c r="D71" s="2">
        <f>SUM(OSRRefD22_13x_0)</f>
        <v>0</v>
      </c>
      <c r="E71" s="2"/>
      <c r="F71" s="6">
        <f t="shared" si="0"/>
        <v>0</v>
      </c>
      <c r="G71" s="2"/>
      <c r="H71" s="2">
        <f>SUM(OSRRefH22_13x_0)</f>
        <v>50</v>
      </c>
      <c r="I71" s="2"/>
      <c r="J71" s="6">
        <f t="shared" si="1"/>
        <v>0</v>
      </c>
      <c r="K71" s="2"/>
      <c r="L71" s="2">
        <f t="shared" si="2"/>
        <v>-50</v>
      </c>
      <c r="M71" s="2"/>
      <c r="N71" s="6">
        <f t="shared" si="3"/>
        <v>-1</v>
      </c>
      <c r="O71" s="14"/>
      <c r="P71" s="2">
        <f>SUM(OSRRefP22_13x_0)</f>
        <v>0</v>
      </c>
      <c r="Q71" s="2"/>
      <c r="R71" s="6">
        <f t="shared" si="4"/>
        <v>0</v>
      </c>
      <c r="S71" s="2"/>
      <c r="T71" s="2">
        <f>SUM(OSRRefT22_13x_0)</f>
        <v>400</v>
      </c>
      <c r="U71" s="2"/>
      <c r="V71" s="6">
        <f t="shared" si="5"/>
        <v>0.16152022838960292</v>
      </c>
      <c r="W71" s="2"/>
      <c r="X71" s="2">
        <f t="shared" si="6"/>
        <v>-400</v>
      </c>
      <c r="Y71" s="2"/>
      <c r="Z71" s="6">
        <f t="shared" si="7"/>
        <v>-1</v>
      </c>
    </row>
    <row r="72" spans="1:26" s="69" customFormat="1" ht="15" hidden="1" customHeight="1" outlineLevel="2" x14ac:dyDescent="0.3">
      <c r="A72" s="26"/>
      <c r="B72" s="12" t="str">
        <f>CONCATENATE("          ","6274"," - ","UTILITIES")</f>
        <v xml:space="preserve">          6274 - UTILITIES</v>
      </c>
      <c r="C72" s="12"/>
      <c r="D72" s="8"/>
      <c r="E72" s="3"/>
      <c r="F72" s="7">
        <f t="shared" si="0"/>
        <v>0</v>
      </c>
      <c r="G72" s="3"/>
      <c r="H72" s="8">
        <v>50</v>
      </c>
      <c r="I72" s="3"/>
      <c r="J72" s="7">
        <f t="shared" si="1"/>
        <v>0</v>
      </c>
      <c r="K72" s="3"/>
      <c r="L72" s="8">
        <f t="shared" si="2"/>
        <v>-50</v>
      </c>
      <c r="M72" s="3"/>
      <c r="N72" s="7">
        <f t="shared" si="3"/>
        <v>-1</v>
      </c>
      <c r="O72" s="12"/>
      <c r="P72" s="8"/>
      <c r="Q72" s="3"/>
      <c r="R72" s="7">
        <f t="shared" si="4"/>
        <v>0</v>
      </c>
      <c r="S72" s="3"/>
      <c r="T72" s="8">
        <v>400</v>
      </c>
      <c r="U72" s="3"/>
      <c r="V72" s="7">
        <f t="shared" si="5"/>
        <v>0.16152022838960292</v>
      </c>
      <c r="W72" s="3"/>
      <c r="X72" s="8">
        <f t="shared" si="6"/>
        <v>-400</v>
      </c>
      <c r="Y72" s="3"/>
      <c r="Z72" s="7">
        <f t="shared" si="7"/>
        <v>-1</v>
      </c>
    </row>
    <row r="73" spans="1:26" s="64" customFormat="1" ht="15" customHeight="1" x14ac:dyDescent="0.3">
      <c r="A73" s="36"/>
      <c r="B73" s="36"/>
      <c r="C73" s="36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2" customFormat="1" ht="15" customHeight="1" x14ac:dyDescent="0.3">
      <c r="A74" s="11"/>
      <c r="B74" s="27" t="s">
        <v>290</v>
      </c>
      <c r="C74" s="11"/>
      <c r="D74" s="5">
        <f>SUM(0)</f>
        <v>0</v>
      </c>
      <c r="E74" s="5"/>
      <c r="F74" s="13">
        <f>IF(D$12=0,0,D74/D$12)</f>
        <v>0</v>
      </c>
      <c r="G74" s="5"/>
      <c r="H74" s="5">
        <f>SUM(0)</f>
        <v>0</v>
      </c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>
        <f>SUM(0)</f>
        <v>0</v>
      </c>
      <c r="Q74" s="5"/>
      <c r="R74" s="13">
        <f>IF(P$12=0,0,P74/P$12)</f>
        <v>0</v>
      </c>
      <c r="S74" s="5"/>
      <c r="T74" s="5">
        <f>SUM(0)</f>
        <v>0</v>
      </c>
      <c r="U74" s="5"/>
      <c r="V74" s="13">
        <f>IF(T$12=0,0,T74/T$12)</f>
        <v>0</v>
      </c>
      <c r="W74" s="5"/>
      <c r="X74" s="5">
        <f>+P74-T74</f>
        <v>0</v>
      </c>
      <c r="Y74" s="5"/>
      <c r="Z74" s="13">
        <f>IF(T74=0,0,X74/T74)</f>
        <v>0</v>
      </c>
    </row>
    <row r="75" spans="1:26" ht="15" customHeight="1" x14ac:dyDescent="0.3">
      <c r="A75" s="10"/>
      <c r="B75" s="11"/>
      <c r="C75" s="11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O75" s="11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291</v>
      </c>
      <c r="C76" s="28"/>
      <c r="D76" s="23">
        <f>+D23-D25+D74</f>
        <v>-1950.3900000000012</v>
      </c>
      <c r="E76" s="15"/>
      <c r="F76" s="22">
        <f>IF(D$12=0,0,D76/D$12)</f>
        <v>-7.5753862383143952E-2</v>
      </c>
      <c r="G76" s="15"/>
      <c r="H76" s="23">
        <f>+H23-H25+H74</f>
        <v>-20980.82</v>
      </c>
      <c r="I76" s="15"/>
      <c r="J76" s="22">
        <f>IF(H$12=0,0,H76/H$12)</f>
        <v>0</v>
      </c>
      <c r="K76" s="17"/>
      <c r="L76" s="23">
        <f>+D76-H76</f>
        <v>19030.43</v>
      </c>
      <c r="M76" s="17"/>
      <c r="N76" s="22">
        <f>IF(H76=0,0,L76/H76)</f>
        <v>-0.90703938168288945</v>
      </c>
      <c r="O76" s="27"/>
      <c r="P76" s="23">
        <f>+P23-P25+P74</f>
        <v>-30558.720000000008</v>
      </c>
      <c r="Q76" s="15"/>
      <c r="R76" s="22">
        <f>IF(P$12=0,0,P76/P$12)</f>
        <v>-1.1869118840257733</v>
      </c>
      <c r="S76" s="15"/>
      <c r="T76" s="23">
        <f>+T23-T25+T74</f>
        <v>-54662.699999999983</v>
      </c>
      <c r="U76" s="15"/>
      <c r="V76" s="22">
        <f>IF(T$12=0,0,T76/T$12)</f>
        <v>-22.072829470980864</v>
      </c>
      <c r="W76" s="17"/>
      <c r="X76" s="23">
        <f>+P76-T76</f>
        <v>24103.979999999974</v>
      </c>
      <c r="Y76" s="17"/>
      <c r="Z76" s="22">
        <f>IF(T76=0,0,X76/T76)</f>
        <v>-0.4409584597906796</v>
      </c>
    </row>
    <row r="77" spans="1:26" ht="15" customHeight="1" x14ac:dyDescent="0.3">
      <c r="A77" s="10"/>
      <c r="B77" s="11"/>
      <c r="C77" s="10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2" customFormat="1" ht="15" customHeight="1" x14ac:dyDescent="0.3">
      <c r="A78" s="48"/>
      <c r="B78" s="11" t="s">
        <v>292</v>
      </c>
      <c r="C78" s="11"/>
      <c r="D78" s="5">
        <v>3213.74</v>
      </c>
      <c r="E78" s="5"/>
      <c r="F78" s="13">
        <f>IF(D$12=0,0,D78/D$12)</f>
        <v>0.12482283937838323</v>
      </c>
      <c r="G78" s="5"/>
      <c r="H78" s="5">
        <v>40.89</v>
      </c>
      <c r="I78" s="5"/>
      <c r="J78" s="13">
        <f>IF(H$12=0,0,H78/H$12)</f>
        <v>0</v>
      </c>
      <c r="K78" s="5"/>
      <c r="L78" s="5">
        <f>+D78-H78</f>
        <v>3172.85</v>
      </c>
      <c r="M78" s="5"/>
      <c r="N78" s="13">
        <f>IF(H78=0,0,L78/H78)</f>
        <v>77.594766446563952</v>
      </c>
      <c r="O78" s="11"/>
      <c r="P78" s="5">
        <v>3213.74</v>
      </c>
      <c r="Q78" s="5"/>
      <c r="R78" s="13">
        <f>IF(P$12=0,0,P78/P$12)</f>
        <v>0.12482283937838323</v>
      </c>
      <c r="S78" s="5"/>
      <c r="T78" s="5">
        <v>490.43</v>
      </c>
      <c r="U78" s="5"/>
      <c r="V78" s="13">
        <f>IF(T$12=0,0,T78/T$12)</f>
        <v>0.19803591402278242</v>
      </c>
      <c r="W78" s="5"/>
      <c r="X78" s="5">
        <f>+P78-T78</f>
        <v>2723.31</v>
      </c>
      <c r="Y78" s="5"/>
      <c r="Z78" s="13">
        <f>IF(T78=0,0,X78/T78)</f>
        <v>5.5529025549008013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2" customFormat="1" ht="15" customHeight="1" x14ac:dyDescent="0.3">
      <c r="A80" s="11"/>
      <c r="B80" s="28" t="s">
        <v>293</v>
      </c>
      <c r="C80" s="28"/>
      <c r="D80" s="33">
        <f>+D76-D78</f>
        <v>-5164.130000000001</v>
      </c>
      <c r="E80" s="15"/>
      <c r="F80" s="34">
        <f>IF(D$12=0,0,D80/D$12)</f>
        <v>-0.20057670176152717</v>
      </c>
      <c r="G80" s="15"/>
      <c r="H80" s="33">
        <f>+H76-H78</f>
        <v>-21021.71</v>
      </c>
      <c r="I80" s="15"/>
      <c r="J80" s="34">
        <f>IF(H$12=0,0,H80/H$12)</f>
        <v>0</v>
      </c>
      <c r="K80" s="17"/>
      <c r="L80" s="33">
        <f>D80-H80</f>
        <v>15857.579999999998</v>
      </c>
      <c r="M80" s="17"/>
      <c r="N80" s="34">
        <f>IF(H80=0,0,L80/H80)</f>
        <v>-0.75434301015473992</v>
      </c>
      <c r="O80" s="27"/>
      <c r="P80" s="33">
        <f>+P76-P78</f>
        <v>-33772.460000000006</v>
      </c>
      <c r="Q80" s="15"/>
      <c r="R80" s="34">
        <f>IF(P$12=0,0,P80/P$12)</f>
        <v>-1.3117347234041563</v>
      </c>
      <c r="S80" s="15"/>
      <c r="T80" s="33">
        <f>+T76-T78</f>
        <v>-55153.129999999983</v>
      </c>
      <c r="U80" s="15"/>
      <c r="V80" s="34">
        <f>IF(T$12=0,0,T80/T$12)</f>
        <v>-22.270865385003646</v>
      </c>
      <c r="W80" s="17"/>
      <c r="X80" s="33">
        <f>P80-T80</f>
        <v>21380.669999999976</v>
      </c>
      <c r="Y80" s="17"/>
      <c r="Z80" s="34">
        <f>IF(T80=0,0,X80/T80)</f>
        <v>-0.38766013823694112</v>
      </c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296</v>
      </c>
      <c r="C83" s="28"/>
      <c r="D83" s="35">
        <f>SUM(D80:D82)</f>
        <v>-5164.130000000001</v>
      </c>
      <c r="E83" s="15"/>
      <c r="F83" s="29">
        <f>IF(D$12=0,0,D83/D$12)</f>
        <v>-0.20057670176152717</v>
      </c>
      <c r="G83" s="15"/>
      <c r="H83" s="35">
        <f>SUM(H80:H82)</f>
        <v>-21021.71</v>
      </c>
      <c r="I83" s="15"/>
      <c r="J83" s="29">
        <f>IF(H$12=0,0,H83/H$12)</f>
        <v>0</v>
      </c>
      <c r="K83" s="17"/>
      <c r="L83" s="35">
        <f>+D83-H83</f>
        <v>15857.579999999998</v>
      </c>
      <c r="M83" s="17"/>
      <c r="N83" s="29">
        <f>IF(H83=0,0,L83/H83)</f>
        <v>-0.75434301015473992</v>
      </c>
      <c r="O83" s="27"/>
      <c r="P83" s="35">
        <f>SUM(P80:P82)</f>
        <v>-33772.460000000006</v>
      </c>
      <c r="Q83" s="15"/>
      <c r="R83" s="29">
        <f>IF(P$12=0,0,P83/P$12)</f>
        <v>-1.3117347234041563</v>
      </c>
      <c r="S83" s="15"/>
      <c r="T83" s="35">
        <f>SUM(T80:T82)</f>
        <v>-55153.129999999983</v>
      </c>
      <c r="U83" s="15"/>
      <c r="V83" s="29">
        <f>IF(T$12=0,0,T83/T$12)</f>
        <v>-22.270865385003646</v>
      </c>
      <c r="W83" s="17"/>
      <c r="X83" s="35">
        <f>+P83-T83</f>
        <v>21380.669999999976</v>
      </c>
      <c r="Y83" s="17"/>
      <c r="Z83" s="29">
        <f>IF(T83=0,0,X83/T83)</f>
        <v>-0.38766013823694112</v>
      </c>
    </row>
    <row r="84" spans="1:26" ht="15" customHeight="1" x14ac:dyDescent="0.3">
      <c r="A84" s="10"/>
      <c r="C84" s="10"/>
      <c r="D84" s="18"/>
      <c r="E84" s="18"/>
      <c r="G84" s="18"/>
      <c r="H84" s="18"/>
      <c r="I84" s="18"/>
      <c r="J84" s="41"/>
      <c r="K84" s="18"/>
      <c r="L84" s="18"/>
      <c r="M84" s="18"/>
      <c r="P84" s="18"/>
      <c r="Q84" s="18"/>
      <c r="R84" s="41"/>
      <c r="S84" s="18"/>
      <c r="T84" s="18"/>
      <c r="U84" s="18"/>
      <c r="V84" s="41"/>
      <c r="W84" s="18"/>
      <c r="X84" s="18"/>
    </row>
    <row r="85" spans="1:26" ht="15" customHeight="1" x14ac:dyDescent="0.3">
      <c r="A85" s="10"/>
      <c r="B85" s="50">
        <v>44634.887810300927</v>
      </c>
      <c r="D85" s="18"/>
      <c r="E85" s="18"/>
      <c r="G85" s="18"/>
      <c r="H85" s="18"/>
      <c r="I85" s="18"/>
      <c r="J85" s="41"/>
      <c r="K85" s="18"/>
      <c r="L85" s="18"/>
      <c r="M85" s="18"/>
      <c r="P85" s="18"/>
      <c r="Q85" s="18"/>
      <c r="R85" s="41"/>
      <c r="S85" s="18"/>
      <c r="T85" s="18"/>
      <c r="U85" s="18"/>
      <c r="V85" s="41"/>
      <c r="W85" s="18"/>
      <c r="X85" s="18"/>
    </row>
    <row r="86" spans="1:26" ht="15" customHeight="1" x14ac:dyDescent="0.3">
      <c r="A86" s="10"/>
      <c r="B86" s="58" t="s">
        <v>297</v>
      </c>
      <c r="D86" s="18"/>
      <c r="E86" s="18"/>
      <c r="G86" s="18"/>
      <c r="H86" s="18"/>
      <c r="I86" s="18"/>
      <c r="J86" s="41"/>
      <c r="K86" s="18"/>
      <c r="L86" s="18"/>
      <c r="M86" s="18"/>
      <c r="P86" s="18"/>
      <c r="Q86" s="18"/>
      <c r="R86" s="41"/>
      <c r="S86" s="18"/>
      <c r="T86" s="18"/>
      <c r="U86" s="18"/>
      <c r="V86" s="41"/>
      <c r="W86" s="18"/>
      <c r="X86" s="18"/>
    </row>
    <row r="87" spans="1:26" ht="15" customHeight="1" x14ac:dyDescent="0.3">
      <c r="A87" s="10"/>
      <c r="B87" s="56"/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3"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069A-54D6-9883-E326-B6C35D6B9387}">
  <sheetPr>
    <tabColor rgb="FF92D050"/>
    <outlinePr summaryBelow="0" summaryRight="0"/>
  </sheetPr>
  <dimension ref="A2:Z5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","322"," - ","Beach Hut")</f>
        <v>Department 322 - Beach Hut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-1222.33</v>
      </c>
      <c r="U14" s="5"/>
      <c r="V14" s="13">
        <f>IF(T$12=0,0,T14/T$12)</f>
        <v>0</v>
      </c>
      <c r="W14" s="5"/>
      <c r="X14" s="5">
        <f>+P14-T14</f>
        <v>1222.33</v>
      </c>
      <c r="Y14" s="5"/>
      <c r="Z14" s="13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-1222.33</v>
      </c>
      <c r="U15" s="3"/>
      <c r="V15" s="20">
        <f>IF(T$12=0,0,T15/T$12)</f>
        <v>0</v>
      </c>
      <c r="W15" s="3"/>
      <c r="X15" s="3">
        <f>+P15-T15</f>
        <v>1222.33</v>
      </c>
      <c r="Y15" s="3"/>
      <c r="Z15" s="20">
        <f>IF(T15=0,0,X15/T15)</f>
        <v>-1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D12-D14</f>
        <v>0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0</v>
      </c>
      <c r="M17" s="17"/>
      <c r="N17" s="22">
        <f>IF(H17=0,0,L17/H17)</f>
        <v>0</v>
      </c>
      <c r="O17" s="27"/>
      <c r="P17" s="23">
        <f>P12-P14</f>
        <v>0</v>
      </c>
      <c r="Q17" s="15"/>
      <c r="R17" s="22">
        <f>IF(P$12=0,0,P17/P$12)</f>
        <v>0</v>
      </c>
      <c r="S17" s="15"/>
      <c r="T17" s="23">
        <f>T12-T14</f>
        <v>1222.33</v>
      </c>
      <c r="U17" s="15"/>
      <c r="V17" s="22">
        <f>IF(T$12=0,0,T17/T$12)</f>
        <v>0</v>
      </c>
      <c r="W17" s="17"/>
      <c r="X17" s="23">
        <f>+P17-T17</f>
        <v>-1222.33</v>
      </c>
      <c r="Y17" s="17"/>
      <c r="Z17" s="22">
        <f>IF(T17=0,0,X17/T17)</f>
        <v>-1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 cm="1">
        <f t="array" ref="D19">SUM(OSRRefD22x_0)</f>
        <v>0</v>
      </c>
      <c r="E19" s="21"/>
      <c r="F19" s="30">
        <f t="shared" ref="F19:F40" si="0">IF(D$12=0,0,D19/D$12)</f>
        <v>0</v>
      </c>
      <c r="G19" s="21"/>
      <c r="H19" s="21" cm="1">
        <f t="array" ref="H19">SUM(OSRRefH22x_0)</f>
        <v>2225.34</v>
      </c>
      <c r="I19" s="21"/>
      <c r="J19" s="30">
        <f t="shared" ref="J19:J40" si="1">IF(H$12=0,0,H19/H$12)</f>
        <v>0</v>
      </c>
      <c r="K19" s="5"/>
      <c r="L19" s="21">
        <f t="shared" ref="L19:L40" si="2">+D19-H19</f>
        <v>-2225.34</v>
      </c>
      <c r="M19" s="5"/>
      <c r="N19" s="30">
        <f t="shared" ref="N19:N40" si="3">IF(H19=0,0,L19/H19)</f>
        <v>-1</v>
      </c>
      <c r="O19" s="11"/>
      <c r="P19" s="21" cm="1">
        <f t="array" ref="P19">SUM(OSRRefP22x_0)</f>
        <v>0</v>
      </c>
      <c r="Q19" s="21"/>
      <c r="R19" s="30">
        <f t="shared" ref="R19:R40" si="4">IF(P$12=0,0,P19/P$12)</f>
        <v>0</v>
      </c>
      <c r="S19" s="21"/>
      <c r="T19" s="21" cm="1">
        <f t="array" ref="T19">SUM(OSRRefT22x_0)</f>
        <v>20240.969999999998</v>
      </c>
      <c r="U19" s="21"/>
      <c r="V19" s="30">
        <f t="shared" ref="V19:V40" si="5">IF(T$12=0,0,T19/T$12)</f>
        <v>0</v>
      </c>
      <c r="W19" s="5"/>
      <c r="X19" s="21">
        <f t="shared" ref="X19:X40" si="6">+P19-T19</f>
        <v>-20240.969999999998</v>
      </c>
      <c r="Y19" s="5"/>
      <c r="Z19" s="30">
        <f t="shared" ref="Z19:Z40" si="7">IF(T19=0,0,X19/T19)</f>
        <v>-1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0</v>
      </c>
      <c r="M20" s="2"/>
      <c r="N20" s="6">
        <f t="shared" si="3"/>
        <v>0</v>
      </c>
      <c r="O20" s="14"/>
      <c r="P20" s="2">
        <f>SUM(OSRRefP22_0x_0)</f>
        <v>0</v>
      </c>
      <c r="Q20" s="2"/>
      <c r="R20" s="6">
        <f t="shared" si="4"/>
        <v>0</v>
      </c>
      <c r="S20" s="2"/>
      <c r="T20" s="2">
        <f>SUM(OSRRefT22_0x_0)</f>
        <v>1595.9699999999998</v>
      </c>
      <c r="U20" s="2"/>
      <c r="V20" s="6">
        <f t="shared" si="5"/>
        <v>0</v>
      </c>
      <c r="W20" s="2"/>
      <c r="X20" s="2">
        <f t="shared" si="6"/>
        <v>-1595.9699999999998</v>
      </c>
      <c r="Y20" s="2"/>
      <c r="Z20" s="6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159.12</v>
      </c>
      <c r="U21" s="3"/>
      <c r="V21" s="7">
        <f t="shared" si="5"/>
        <v>0</v>
      </c>
      <c r="W21" s="3"/>
      <c r="X21" s="8">
        <f t="shared" si="6"/>
        <v>-159.12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683.68</v>
      </c>
      <c r="U22" s="3"/>
      <c r="V22" s="7">
        <f t="shared" si="5"/>
        <v>0</v>
      </c>
      <c r="W22" s="3"/>
      <c r="X22" s="8">
        <f t="shared" si="6"/>
        <v>-683.68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","6115"," - ","P.E.R.S.")</f>
        <v xml:space="preserve">          6115 - P.E.R.S.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321.57</v>
      </c>
      <c r="U23" s="3"/>
      <c r="V23" s="7">
        <f t="shared" si="5"/>
        <v>0</v>
      </c>
      <c r="W23" s="3"/>
      <c r="X23" s="8">
        <f t="shared" si="6"/>
        <v>-321.57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","6118"," - ","VACATION")</f>
        <v xml:space="preserve">          6118 - VACATION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239.72</v>
      </c>
      <c r="U24" s="3"/>
      <c r="V24" s="7">
        <f t="shared" si="5"/>
        <v>0</v>
      </c>
      <c r="W24" s="3"/>
      <c r="X24" s="8">
        <f t="shared" si="6"/>
        <v>-239.72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","6119"," - ","SICK LEAVE")</f>
        <v xml:space="preserve">          6119 - SICK LEAVE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191.88</v>
      </c>
      <c r="U25" s="3"/>
      <c r="V25" s="7">
        <f t="shared" si="5"/>
        <v>0</v>
      </c>
      <c r="W25" s="3"/>
      <c r="X25" s="8">
        <f t="shared" si="6"/>
        <v>-191.88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5"/>
      <c r="B26" s="14" t="str">
        <f>CONCATENATE("     ","*Payroll                                          ")</f>
        <v xml:space="preserve">     *Payroll                                          </v>
      </c>
      <c r="C26" s="14"/>
      <c r="D26" s="2">
        <f>SUM(OSRRefD22_1x_0)</f>
        <v>0</v>
      </c>
      <c r="E26" s="2"/>
      <c r="F26" s="6">
        <f t="shared" si="0"/>
        <v>0</v>
      </c>
      <c r="G26" s="2"/>
      <c r="H26" s="2">
        <f>SUM(OSRRefH22_1x_0)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SUM(OSRRefP22_1x_0)</f>
        <v>0</v>
      </c>
      <c r="Q26" s="2"/>
      <c r="R26" s="6">
        <f t="shared" si="4"/>
        <v>0</v>
      </c>
      <c r="S26" s="2"/>
      <c r="T26" s="2">
        <f>SUM(OSRRefT22_1x_0)</f>
        <v>2080</v>
      </c>
      <c r="U26" s="2"/>
      <c r="V26" s="6">
        <f t="shared" si="5"/>
        <v>0</v>
      </c>
      <c r="W26" s="2"/>
      <c r="X26" s="2">
        <f t="shared" si="6"/>
        <v>-2080</v>
      </c>
      <c r="Y26" s="2"/>
      <c r="Z26" s="6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","6002"," - ","STAFF SALARIES")</f>
        <v xml:space="preserve">          6002 - STAFF SALARIES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2080</v>
      </c>
      <c r="U27" s="3"/>
      <c r="V27" s="7">
        <f t="shared" si="5"/>
        <v>0</v>
      </c>
      <c r="W27" s="3"/>
      <c r="X27" s="8">
        <f t="shared" si="6"/>
        <v>-2080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5"/>
      <c r="B28" s="14" t="str">
        <f>CONCATENATE("     ","Depreciation                                      ")</f>
        <v xml:space="preserve">     Depreciation                                      </v>
      </c>
      <c r="C28" s="14"/>
      <c r="D28" s="2">
        <f>SUM(OSRRefD22_2x_0)</f>
        <v>0</v>
      </c>
      <c r="E28" s="2"/>
      <c r="F28" s="6">
        <f t="shared" si="0"/>
        <v>0</v>
      </c>
      <c r="G28" s="2"/>
      <c r="H28" s="2">
        <f>SUM(OSRRefH22_2x_0)</f>
        <v>2017.34</v>
      </c>
      <c r="I28" s="2"/>
      <c r="J28" s="6">
        <f t="shared" si="1"/>
        <v>0</v>
      </c>
      <c r="K28" s="2"/>
      <c r="L28" s="2">
        <f t="shared" si="2"/>
        <v>-2017.34</v>
      </c>
      <c r="M28" s="2"/>
      <c r="N28" s="6">
        <f t="shared" si="3"/>
        <v>-1</v>
      </c>
      <c r="O28" s="14"/>
      <c r="P28" s="2">
        <f>SUM(OSRRefP22_2x_0)</f>
        <v>0</v>
      </c>
      <c r="Q28" s="2"/>
      <c r="R28" s="6">
        <f t="shared" si="4"/>
        <v>0</v>
      </c>
      <c r="S28" s="2"/>
      <c r="T28" s="2">
        <f>SUM(OSRRefT22_2x_0)</f>
        <v>16138.72</v>
      </c>
      <c r="U28" s="2"/>
      <c r="V28" s="6">
        <f t="shared" si="5"/>
        <v>0</v>
      </c>
      <c r="W28" s="2"/>
      <c r="X28" s="2">
        <f t="shared" si="6"/>
        <v>-16138.72</v>
      </c>
      <c r="Y28" s="2"/>
      <c r="Z28" s="6">
        <f t="shared" si="7"/>
        <v>-1</v>
      </c>
    </row>
    <row r="29" spans="1:26" s="69" customFormat="1" ht="15" hidden="1" customHeight="1" outlineLevel="2" x14ac:dyDescent="0.3">
      <c r="A29" s="26"/>
      <c r="B29" s="12" t="str">
        <f>CONCATENATE("          ","6322"," - ","EQUIPMENT DEPRECIATION EXPENSE")</f>
        <v xml:space="preserve">          6322 - EQUIPMENT DEPRECIATION EXPENSE</v>
      </c>
      <c r="C29" s="12"/>
      <c r="D29" s="8"/>
      <c r="E29" s="3"/>
      <c r="F29" s="7">
        <f t="shared" si="0"/>
        <v>0</v>
      </c>
      <c r="G29" s="3"/>
      <c r="H29" s="8">
        <v>2017.34</v>
      </c>
      <c r="I29" s="3"/>
      <c r="J29" s="7">
        <f t="shared" si="1"/>
        <v>0</v>
      </c>
      <c r="K29" s="3"/>
      <c r="L29" s="8">
        <f t="shared" si="2"/>
        <v>-2017.34</v>
      </c>
      <c r="M29" s="3"/>
      <c r="N29" s="7">
        <f t="shared" si="3"/>
        <v>-1</v>
      </c>
      <c r="O29" s="12"/>
      <c r="P29" s="8"/>
      <c r="Q29" s="3"/>
      <c r="R29" s="7">
        <f t="shared" si="4"/>
        <v>0</v>
      </c>
      <c r="S29" s="3"/>
      <c r="T29" s="8">
        <v>16138.72</v>
      </c>
      <c r="U29" s="3"/>
      <c r="V29" s="7">
        <f t="shared" si="5"/>
        <v>0</v>
      </c>
      <c r="W29" s="3"/>
      <c r="X29" s="8">
        <f t="shared" si="6"/>
        <v>-16138.72</v>
      </c>
      <c r="Y29" s="3"/>
      <c r="Z29" s="7">
        <f t="shared" si="7"/>
        <v>-1</v>
      </c>
    </row>
    <row r="30" spans="1:26" s="68" customFormat="1" ht="15" customHeight="1" outlineLevel="1" collapsed="1" x14ac:dyDescent="0.3">
      <c r="A30" s="25"/>
      <c r="B30" s="14" t="str">
        <f>CONCATENATE("     ","Repair and Maintenance                            ")</f>
        <v xml:space="preserve">     Repair and Maintenance                            </v>
      </c>
      <c r="C30" s="14"/>
      <c r="D30" s="2">
        <f>SUM(OSRRefD22_3x_0)</f>
        <v>0</v>
      </c>
      <c r="E30" s="2"/>
      <c r="F30" s="6">
        <f t="shared" si="0"/>
        <v>0</v>
      </c>
      <c r="G30" s="2"/>
      <c r="H30" s="2">
        <f>SUM(OSRRefH22_3x_0)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SUM(OSRRefP22_3x_0)</f>
        <v>0</v>
      </c>
      <c r="Q30" s="2"/>
      <c r="R30" s="6">
        <f t="shared" si="4"/>
        <v>0</v>
      </c>
      <c r="S30" s="2"/>
      <c r="T30" s="2">
        <f>SUM(OSRRefT22_3x_0)</f>
        <v>223.3</v>
      </c>
      <c r="U30" s="2"/>
      <c r="V30" s="6">
        <f t="shared" si="5"/>
        <v>0</v>
      </c>
      <c r="W30" s="2"/>
      <c r="X30" s="2">
        <f t="shared" si="6"/>
        <v>-223.3</v>
      </c>
      <c r="Y30" s="2"/>
      <c r="Z30" s="6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","6373"," - ","MAINTENANCE CONTRACTS")</f>
        <v xml:space="preserve">          6373 - MAINTENANCE CONTRACTS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0</v>
      </c>
      <c r="Q31" s="3"/>
      <c r="R31" s="7">
        <f t="shared" si="4"/>
        <v>0</v>
      </c>
      <c r="S31" s="3"/>
      <c r="T31" s="8">
        <v>223.3</v>
      </c>
      <c r="U31" s="3"/>
      <c r="V31" s="7">
        <f t="shared" si="5"/>
        <v>0</v>
      </c>
      <c r="W31" s="3"/>
      <c r="X31" s="8">
        <f t="shared" si="6"/>
        <v>-223.3</v>
      </c>
      <c r="Y31" s="3"/>
      <c r="Z31" s="7">
        <f t="shared" si="7"/>
        <v>-1</v>
      </c>
    </row>
    <row r="32" spans="1:26" s="68" customFormat="1" ht="15" customHeight="1" outlineLevel="1" collapsed="1" x14ac:dyDescent="0.3">
      <c r="A32" s="25"/>
      <c r="B32" s="14" t="str">
        <f>CONCATENATE("     ","Services                                          ")</f>
        <v xml:space="preserve">     Services                                          </v>
      </c>
      <c r="C32" s="14"/>
      <c r="D32" s="2">
        <f>SUM(OSRRefD22_4x_0)</f>
        <v>0</v>
      </c>
      <c r="E32" s="2"/>
      <c r="F32" s="6">
        <f t="shared" si="0"/>
        <v>0</v>
      </c>
      <c r="G32" s="2"/>
      <c r="H32" s="2">
        <f>SUM(OSRRefH22_4x_0)</f>
        <v>0</v>
      </c>
      <c r="I32" s="2"/>
      <c r="J32" s="6">
        <f t="shared" si="1"/>
        <v>0</v>
      </c>
      <c r="K32" s="2"/>
      <c r="L32" s="2">
        <f t="shared" si="2"/>
        <v>0</v>
      </c>
      <c r="M32" s="2"/>
      <c r="N32" s="6">
        <f t="shared" si="3"/>
        <v>0</v>
      </c>
      <c r="O32" s="14"/>
      <c r="P32" s="2">
        <f>SUM(OSRRefP22_4x_0)</f>
        <v>0</v>
      </c>
      <c r="Q32" s="2"/>
      <c r="R32" s="6">
        <f t="shared" si="4"/>
        <v>0</v>
      </c>
      <c r="S32" s="2"/>
      <c r="T32" s="2">
        <f>SUM(OSRRefT22_4x_0)</f>
        <v>-1053.52</v>
      </c>
      <c r="U32" s="2"/>
      <c r="V32" s="6">
        <f t="shared" si="5"/>
        <v>0</v>
      </c>
      <c r="W32" s="2"/>
      <c r="X32" s="2">
        <f t="shared" si="6"/>
        <v>1053.52</v>
      </c>
      <c r="Y32" s="2"/>
      <c r="Z32" s="6">
        <f t="shared" si="7"/>
        <v>-1</v>
      </c>
    </row>
    <row r="33" spans="1:26" s="69" customFormat="1" ht="15" hidden="1" customHeight="1" outlineLevel="2" x14ac:dyDescent="0.3">
      <c r="A33" s="26"/>
      <c r="B33" s="12" t="str">
        <f>CONCATENATE("          ","6282"," - ","JANITORIAL/EXTERMINATOR EXPENS")</f>
        <v xml:space="preserve">          6282 - JANITORIAL/EXTERMINATOR EXPENS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-567.28</v>
      </c>
      <c r="U33" s="3"/>
      <c r="V33" s="7">
        <f t="shared" si="5"/>
        <v>0</v>
      </c>
      <c r="W33" s="3"/>
      <c r="X33" s="8">
        <f t="shared" si="6"/>
        <v>567.28</v>
      </c>
      <c r="Y33" s="3"/>
      <c r="Z33" s="7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","6285"," - ","JANITORIAL SERVICES")</f>
        <v xml:space="preserve">          6285 - JANITORIAL SERVICES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-486.24</v>
      </c>
      <c r="U34" s="3"/>
      <c r="V34" s="7">
        <f t="shared" si="5"/>
        <v>0</v>
      </c>
      <c r="W34" s="3"/>
      <c r="X34" s="8">
        <f t="shared" si="6"/>
        <v>486.24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5"/>
      <c r="B35" s="14" t="str">
        <f>CONCATENATE("     ","Supplies                                          ")</f>
        <v xml:space="preserve">     Supplies              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131.30000000000001</v>
      </c>
      <c r="U35" s="2"/>
      <c r="V35" s="6">
        <f t="shared" si="5"/>
        <v>0</v>
      </c>
      <c r="W35" s="2"/>
      <c r="X35" s="2">
        <f t="shared" si="6"/>
        <v>-131.30000000000001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","6241"," - ","OFFICE EXPENSE")</f>
        <v xml:space="preserve">          6241 - OFFICE EXPENSE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131.30000000000001</v>
      </c>
      <c r="U36" s="3"/>
      <c r="V36" s="7">
        <f t="shared" si="5"/>
        <v>0</v>
      </c>
      <c r="W36" s="3"/>
      <c r="X36" s="8">
        <f t="shared" si="6"/>
        <v>-131.30000000000001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","Telephone/Data Lines                              ")</f>
        <v xml:space="preserve">     Telephone/Data Lines                              </v>
      </c>
      <c r="C37" s="14"/>
      <c r="D37" s="2">
        <f>SUM(OSRRefD22_6x_0)</f>
        <v>0</v>
      </c>
      <c r="E37" s="2"/>
      <c r="F37" s="6">
        <f t="shared" si="0"/>
        <v>0</v>
      </c>
      <c r="G37" s="2"/>
      <c r="H37" s="2">
        <f>SUM(OSRRefH22_6x_0)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SUM(OSRRefP22_6x_0)</f>
        <v>0</v>
      </c>
      <c r="Q37" s="2"/>
      <c r="R37" s="6">
        <f t="shared" si="4"/>
        <v>0</v>
      </c>
      <c r="S37" s="2"/>
      <c r="T37" s="2">
        <f>SUM(OSRRefT22_6x_0)</f>
        <v>85.2</v>
      </c>
      <c r="U37" s="2"/>
      <c r="V37" s="6">
        <f t="shared" si="5"/>
        <v>0</v>
      </c>
      <c r="W37" s="2"/>
      <c r="X37" s="2">
        <f t="shared" si="6"/>
        <v>-85.2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","6309"," - ","TELEPHONE")</f>
        <v xml:space="preserve">          6309 - TELEPHONE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85.2</v>
      </c>
      <c r="U38" s="3"/>
      <c r="V38" s="7">
        <f t="shared" si="5"/>
        <v>0</v>
      </c>
      <c r="W38" s="3"/>
      <c r="X38" s="8">
        <f t="shared" si="6"/>
        <v>-85.2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5"/>
      <c r="B39" s="14" t="str">
        <f>CONCATENATE("     ","Utilities                                         ")</f>
        <v xml:space="preserve">     Utilities                                         </v>
      </c>
      <c r="C39" s="14"/>
      <c r="D39" s="2">
        <f>SUM(OSRRefD22_7x_0)</f>
        <v>0</v>
      </c>
      <c r="E39" s="2"/>
      <c r="F39" s="6">
        <f t="shared" si="0"/>
        <v>0</v>
      </c>
      <c r="G39" s="2"/>
      <c r="H39" s="2">
        <f>SUM(OSRRefH22_7x_0)</f>
        <v>208</v>
      </c>
      <c r="I39" s="2"/>
      <c r="J39" s="6">
        <f t="shared" si="1"/>
        <v>0</v>
      </c>
      <c r="K39" s="2"/>
      <c r="L39" s="2">
        <f t="shared" si="2"/>
        <v>-208</v>
      </c>
      <c r="M39" s="2"/>
      <c r="N39" s="6">
        <f t="shared" si="3"/>
        <v>-1</v>
      </c>
      <c r="O39" s="14"/>
      <c r="P39" s="2">
        <f>SUM(OSRRefP22_7x_0)</f>
        <v>0</v>
      </c>
      <c r="Q39" s="2"/>
      <c r="R39" s="6">
        <f t="shared" si="4"/>
        <v>0</v>
      </c>
      <c r="S39" s="2"/>
      <c r="T39" s="2">
        <f>SUM(OSRRefT22_7x_0)</f>
        <v>1040</v>
      </c>
      <c r="U39" s="2"/>
      <c r="V39" s="6">
        <f t="shared" si="5"/>
        <v>0</v>
      </c>
      <c r="W39" s="2"/>
      <c r="X39" s="2">
        <f t="shared" si="6"/>
        <v>-1040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","6274"," - ","UTILITIES")</f>
        <v xml:space="preserve">          6274 - UTILITIES</v>
      </c>
      <c r="C40" s="12"/>
      <c r="D40" s="8"/>
      <c r="E40" s="3"/>
      <c r="F40" s="7">
        <f t="shared" si="0"/>
        <v>0</v>
      </c>
      <c r="G40" s="3"/>
      <c r="H40" s="8">
        <v>208</v>
      </c>
      <c r="I40" s="3"/>
      <c r="J40" s="7">
        <f t="shared" si="1"/>
        <v>0</v>
      </c>
      <c r="K40" s="3"/>
      <c r="L40" s="8">
        <f t="shared" si="2"/>
        <v>-208</v>
      </c>
      <c r="M40" s="3"/>
      <c r="N40" s="7">
        <f t="shared" si="3"/>
        <v>-1</v>
      </c>
      <c r="O40" s="12"/>
      <c r="P40" s="8"/>
      <c r="Q40" s="3"/>
      <c r="R40" s="7">
        <f t="shared" si="4"/>
        <v>0</v>
      </c>
      <c r="S40" s="3"/>
      <c r="T40" s="8">
        <v>1040</v>
      </c>
      <c r="U40" s="3"/>
      <c r="V40" s="7">
        <f t="shared" si="5"/>
        <v>0</v>
      </c>
      <c r="W40" s="3"/>
      <c r="X40" s="8">
        <f t="shared" si="6"/>
        <v>-1040</v>
      </c>
      <c r="Y40" s="3"/>
      <c r="Z40" s="7">
        <f t="shared" si="7"/>
        <v>-1</v>
      </c>
    </row>
    <row r="41" spans="1:26" s="64" customFormat="1" ht="15" customHeight="1" x14ac:dyDescent="0.3">
      <c r="A41" s="36"/>
      <c r="B41" s="36"/>
      <c r="C41" s="36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2" customFormat="1" ht="15" customHeight="1" x14ac:dyDescent="0.3">
      <c r="A42" s="11"/>
      <c r="B42" s="27" t="s">
        <v>290</v>
      </c>
      <c r="C42" s="11"/>
      <c r="D42" s="5">
        <f>SUM(0)</f>
        <v>0</v>
      </c>
      <c r="E42" s="5"/>
      <c r="F42" s="13">
        <f>IF(D$12=0,0,D42/D$12)</f>
        <v>0</v>
      </c>
      <c r="G42" s="5"/>
      <c r="H42" s="5">
        <f>SUM(0)</f>
        <v>0</v>
      </c>
      <c r="I42" s="5"/>
      <c r="J42" s="13">
        <f>IF(H$12=0,0,H42/H$12)</f>
        <v>0</v>
      </c>
      <c r="K42" s="5"/>
      <c r="L42" s="5">
        <f>+D42-H42</f>
        <v>0</v>
      </c>
      <c r="M42" s="5"/>
      <c r="N42" s="13">
        <f>IF(H42=0,0,L42/H42)</f>
        <v>0</v>
      </c>
      <c r="O42" s="11"/>
      <c r="P42" s="5">
        <f>SUM(0)</f>
        <v>0</v>
      </c>
      <c r="Q42" s="5"/>
      <c r="R42" s="13">
        <f>IF(P$12=0,0,P42/P$12)</f>
        <v>0</v>
      </c>
      <c r="S42" s="5"/>
      <c r="T42" s="5">
        <f>SUM(0)</f>
        <v>0</v>
      </c>
      <c r="U42" s="5"/>
      <c r="V42" s="13">
        <f>IF(T$12=0,0,T42/T$12)</f>
        <v>0</v>
      </c>
      <c r="W42" s="5"/>
      <c r="X42" s="5">
        <f>+P42-T42</f>
        <v>0</v>
      </c>
      <c r="Y42" s="5"/>
      <c r="Z42" s="13">
        <f>IF(T42=0,0,X42/T42)</f>
        <v>0</v>
      </c>
    </row>
    <row r="43" spans="1:26" ht="15" customHeight="1" x14ac:dyDescent="0.3">
      <c r="A43" s="10"/>
      <c r="B43" s="11"/>
      <c r="C43" s="11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O43" s="11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8" t="s">
        <v>291</v>
      </c>
      <c r="C44" s="28"/>
      <c r="D44" s="23">
        <f>+D17-D19+D42</f>
        <v>0</v>
      </c>
      <c r="E44" s="15"/>
      <c r="F44" s="22">
        <f>IF(D$12=0,0,D44/D$12)</f>
        <v>0</v>
      </c>
      <c r="G44" s="15"/>
      <c r="H44" s="23">
        <f>+H17-H19+H42</f>
        <v>-2225.34</v>
      </c>
      <c r="I44" s="15"/>
      <c r="J44" s="22">
        <f>IF(H$12=0,0,H44/H$12)</f>
        <v>0</v>
      </c>
      <c r="K44" s="17"/>
      <c r="L44" s="23">
        <f>+D44-H44</f>
        <v>2225.34</v>
      </c>
      <c r="M44" s="17"/>
      <c r="N44" s="22">
        <f>IF(H44=0,0,L44/H44)</f>
        <v>-1</v>
      </c>
      <c r="O44" s="27"/>
      <c r="P44" s="23">
        <f>+P17-P19+P42</f>
        <v>0</v>
      </c>
      <c r="Q44" s="15"/>
      <c r="R44" s="22">
        <f>IF(P$12=0,0,P44/P$12)</f>
        <v>0</v>
      </c>
      <c r="S44" s="15"/>
      <c r="T44" s="23">
        <f>+T17-T19+T42</f>
        <v>-19018.64</v>
      </c>
      <c r="U44" s="15"/>
      <c r="V44" s="22">
        <f>IF(T$12=0,0,T44/T$12)</f>
        <v>0</v>
      </c>
      <c r="W44" s="17"/>
      <c r="X44" s="23">
        <f>+P44-T44</f>
        <v>19018.64</v>
      </c>
      <c r="Y44" s="17"/>
      <c r="Z44" s="22">
        <f>IF(T44=0,0,X44/T44)</f>
        <v>-1</v>
      </c>
    </row>
    <row r="45" spans="1:26" ht="15" customHeight="1" x14ac:dyDescent="0.3">
      <c r="A45" s="10"/>
      <c r="B45" s="11"/>
      <c r="C45" s="10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48"/>
      <c r="B46" s="11" t="s">
        <v>292</v>
      </c>
      <c r="C46" s="11"/>
      <c r="D46" s="5"/>
      <c r="E46" s="5"/>
      <c r="F46" s="13">
        <f>IF(D$12=0,0,D46/D$12)</f>
        <v>0</v>
      </c>
      <c r="G46" s="5"/>
      <c r="H46" s="5"/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/>
      <c r="Q46" s="5"/>
      <c r="R46" s="13">
        <f>IF(P$12=0,0,P46/P$12)</f>
        <v>0</v>
      </c>
      <c r="S46" s="5"/>
      <c r="T46" s="5"/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293</v>
      </c>
      <c r="C48" s="28"/>
      <c r="D48" s="33">
        <f>+D44-D46</f>
        <v>0</v>
      </c>
      <c r="E48" s="15"/>
      <c r="F48" s="34">
        <f>IF(D$12=0,0,D48/D$12)</f>
        <v>0</v>
      </c>
      <c r="G48" s="15"/>
      <c r="H48" s="33">
        <f>+H44-H46</f>
        <v>-2225.34</v>
      </c>
      <c r="I48" s="15"/>
      <c r="J48" s="34">
        <f>IF(H$12=0,0,H48/H$12)</f>
        <v>0</v>
      </c>
      <c r="K48" s="17"/>
      <c r="L48" s="33">
        <f>D48-H48</f>
        <v>2225.34</v>
      </c>
      <c r="M48" s="17"/>
      <c r="N48" s="34">
        <f>IF(H48=0,0,L48/H48)</f>
        <v>-1</v>
      </c>
      <c r="O48" s="27"/>
      <c r="P48" s="33">
        <f>+P44-P46</f>
        <v>0</v>
      </c>
      <c r="Q48" s="15"/>
      <c r="R48" s="34">
        <f>IF(P$12=0,0,P48/P$12)</f>
        <v>0</v>
      </c>
      <c r="S48" s="15"/>
      <c r="T48" s="33">
        <f>+T44-T46</f>
        <v>-19018.64</v>
      </c>
      <c r="U48" s="15"/>
      <c r="V48" s="34">
        <f>IF(T$12=0,0,T48/T$12)</f>
        <v>0</v>
      </c>
      <c r="W48" s="17"/>
      <c r="X48" s="33">
        <f>P48-T48</f>
        <v>19018.64</v>
      </c>
      <c r="Y48" s="17"/>
      <c r="Z48" s="34">
        <f>IF(T48=0,0,X48/T48)</f>
        <v>-1</v>
      </c>
    </row>
    <row r="49" spans="1:26" ht="15" customHeight="1" x14ac:dyDescent="0.3">
      <c r="A49" s="10"/>
      <c r="B49" s="10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ht="15" customHeight="1" x14ac:dyDescent="0.3">
      <c r="A50" s="10"/>
      <c r="B50" s="10"/>
      <c r="C50" s="10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8" t="s">
        <v>296</v>
      </c>
      <c r="C51" s="28"/>
      <c r="D51" s="35">
        <f>SUM(D48:D50)</f>
        <v>0</v>
      </c>
      <c r="E51" s="15"/>
      <c r="F51" s="29">
        <f>IF(D$12=0,0,D51/D$12)</f>
        <v>0</v>
      </c>
      <c r="G51" s="15"/>
      <c r="H51" s="35">
        <f>SUM(H48:H50)</f>
        <v>-2225.34</v>
      </c>
      <c r="I51" s="15"/>
      <c r="J51" s="29">
        <f>IF(H$12=0,0,H51/H$12)</f>
        <v>0</v>
      </c>
      <c r="K51" s="17"/>
      <c r="L51" s="35">
        <f>+D51-H51</f>
        <v>2225.34</v>
      </c>
      <c r="M51" s="17"/>
      <c r="N51" s="29">
        <f>IF(H51=0,0,L51/H51)</f>
        <v>-1</v>
      </c>
      <c r="O51" s="27"/>
      <c r="P51" s="35">
        <f>SUM(P48:P50)</f>
        <v>0</v>
      </c>
      <c r="Q51" s="15"/>
      <c r="R51" s="29">
        <f>IF(P$12=0,0,P51/P$12)</f>
        <v>0</v>
      </c>
      <c r="S51" s="15"/>
      <c r="T51" s="35">
        <f>SUM(T48:T50)</f>
        <v>-19018.64</v>
      </c>
      <c r="U51" s="15"/>
      <c r="V51" s="29">
        <f>IF(T$12=0,0,T51/T$12)</f>
        <v>0</v>
      </c>
      <c r="W51" s="17"/>
      <c r="X51" s="35">
        <f>+P51-T51</f>
        <v>19018.64</v>
      </c>
      <c r="Y51" s="17"/>
      <c r="Z51" s="29">
        <f>IF(T51=0,0,X51/T51)</f>
        <v>-1</v>
      </c>
    </row>
    <row r="52" spans="1:26" ht="15" customHeight="1" x14ac:dyDescent="0.3">
      <c r="A52" s="10"/>
      <c r="C52" s="10"/>
      <c r="D52" s="18"/>
      <c r="E52" s="18"/>
      <c r="G52" s="18"/>
      <c r="H52" s="18"/>
      <c r="I52" s="18"/>
      <c r="J52" s="41"/>
      <c r="K52" s="18"/>
      <c r="L52" s="18"/>
      <c r="M52" s="18"/>
      <c r="P52" s="18"/>
      <c r="Q52" s="18"/>
      <c r="R52" s="41"/>
      <c r="S52" s="18"/>
      <c r="T52" s="18"/>
      <c r="U52" s="18"/>
      <c r="V52" s="41"/>
      <c r="W52" s="18"/>
      <c r="X52" s="18"/>
    </row>
    <row r="53" spans="1:26" ht="15" customHeight="1" x14ac:dyDescent="0.3">
      <c r="A53" s="10"/>
      <c r="B53" s="50">
        <v>44634.887810300927</v>
      </c>
      <c r="D53" s="18"/>
      <c r="E53" s="18"/>
      <c r="G53" s="18"/>
      <c r="H53" s="18"/>
      <c r="I53" s="18"/>
      <c r="J53" s="41"/>
      <c r="K53" s="18"/>
      <c r="L53" s="18"/>
      <c r="M53" s="18"/>
      <c r="P53" s="18"/>
      <c r="Q53" s="18"/>
      <c r="R53" s="41"/>
      <c r="S53" s="18"/>
      <c r="T53" s="18"/>
      <c r="U53" s="18"/>
      <c r="V53" s="41"/>
      <c r="W53" s="18"/>
      <c r="X53" s="18"/>
    </row>
    <row r="54" spans="1:26" ht="15" customHeight="1" x14ac:dyDescent="0.3">
      <c r="A54" s="10"/>
      <c r="B54" s="58" t="s">
        <v>297</v>
      </c>
      <c r="D54" s="18"/>
      <c r="E54" s="18"/>
      <c r="G54" s="18"/>
      <c r="H54" s="18"/>
      <c r="I54" s="18"/>
      <c r="J54" s="41"/>
      <c r="K54" s="18"/>
      <c r="L54" s="18"/>
      <c r="M54" s="18"/>
      <c r="P54" s="18"/>
      <c r="Q54" s="18"/>
      <c r="R54" s="41"/>
      <c r="S54" s="18"/>
      <c r="T54" s="18"/>
      <c r="U54" s="18"/>
      <c r="V54" s="41"/>
      <c r="W54" s="18"/>
      <c r="X54" s="18"/>
    </row>
    <row r="55" spans="1:26" ht="15" customHeight="1" x14ac:dyDescent="0.3">
      <c r="A55" s="10"/>
      <c r="B55" s="56"/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3"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E733-253F-B4F7-22FF-91335C9CF13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ABB29-896C-3CA7-2959-DA9ED060A68F}">
  <sheetPr>
    <tabColor rgb="FF92D050"/>
    <outlinePr summaryBelow="0" summaryRight="0"/>
  </sheetPr>
  <dimension ref="A2:Z8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","325"," - ","Outpost C-Store")</f>
        <v>Department 325 - Outpost C-Store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46065.94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46065.94</v>
      </c>
      <c r="M12" s="5"/>
      <c r="N12" s="13">
        <f>IF(H12=0,0,L12/H12)</f>
        <v>0</v>
      </c>
      <c r="O12" s="11"/>
      <c r="P12" s="5">
        <f>SUM(OSRRefP13x_0)</f>
        <v>126608.18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126608.18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--6818.73</f>
        <v>6818.73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6818.73</v>
      </c>
      <c r="M13" s="3"/>
      <c r="N13" s="20">
        <f>IF(H13=0,0,L13/H13)</f>
        <v>0</v>
      </c>
      <c r="O13" s="12"/>
      <c r="P13" s="3">
        <f>--20373.29</f>
        <v>20373.29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20373.29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--39247.21</f>
        <v>39247.21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39247.21</v>
      </c>
      <c r="M14" s="3"/>
      <c r="N14" s="20">
        <f>IF(H14=0,0,L14/H14)</f>
        <v>0</v>
      </c>
      <c r="O14" s="12"/>
      <c r="P14" s="3">
        <f>--106234.89</f>
        <v>106234.89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106234.89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22687.94</v>
      </c>
      <c r="E16" s="5"/>
      <c r="F16" s="13">
        <f>IF(D$12=0,0,D16/D$12)</f>
        <v>0.49251008445719324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22687.94</v>
      </c>
      <c r="M16" s="5"/>
      <c r="N16" s="13">
        <f>IF(H16=0,0,L16/H16)</f>
        <v>0</v>
      </c>
      <c r="O16" s="11"/>
      <c r="P16" s="5">
        <f>SUM(OSRRefP16x_0)</f>
        <v>62798.42</v>
      </c>
      <c r="Q16" s="5"/>
      <c r="R16" s="13">
        <f>IF(P$12=0,0,P16/P$12)</f>
        <v>0.49600602425530482</v>
      </c>
      <c r="S16" s="5"/>
      <c r="T16" s="5">
        <f>SUM(OSRRefT16x_0)</f>
        <v>10641.24</v>
      </c>
      <c r="U16" s="5"/>
      <c r="V16" s="13">
        <f>IF(T$12=0,0,T16/T$12)</f>
        <v>0</v>
      </c>
      <c r="W16" s="5"/>
      <c r="X16" s="5">
        <f>+P16-T16</f>
        <v>52157.18</v>
      </c>
      <c r="Y16" s="5"/>
      <c r="Z16" s="13">
        <f>IF(T16=0,0,X16/T16)</f>
        <v>4.9014193834553117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41892.61</v>
      </c>
      <c r="Q17" s="3"/>
      <c r="R17" s="20">
        <f>IF(P$12=0,0,P17/P$12)</f>
        <v>0.33088391287198032</v>
      </c>
      <c r="S17" s="3"/>
      <c r="T17" s="3">
        <v>-987.76</v>
      </c>
      <c r="U17" s="3"/>
      <c r="V17" s="20">
        <f>IF(T$12=0,0,T17/T$12)</f>
        <v>0</v>
      </c>
      <c r="W17" s="3"/>
      <c r="X17" s="3">
        <f>+P17-T17</f>
        <v>42880.37</v>
      </c>
      <c r="Y17" s="3"/>
      <c r="Z17" s="20">
        <f>IF(T17=0,0,X17/T17)</f>
        <v>-43.411729569936021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22687.94</v>
      </c>
      <c r="E18" s="3"/>
      <c r="F18" s="20">
        <f>IF(D$12=0,0,D18/D$12)</f>
        <v>0.49251008445719324</v>
      </c>
      <c r="G18" s="3"/>
      <c r="H18" s="3"/>
      <c r="I18" s="3"/>
      <c r="J18" s="20">
        <f>IF(H$12=0,0,H18/H$12)</f>
        <v>0</v>
      </c>
      <c r="K18" s="3"/>
      <c r="L18" s="3">
        <f>+D18-H18</f>
        <v>22687.94</v>
      </c>
      <c r="M18" s="3"/>
      <c r="N18" s="20">
        <f>IF(H18=0,0,L18/H18)</f>
        <v>0</v>
      </c>
      <c r="O18" s="12"/>
      <c r="P18" s="3">
        <v>20905.810000000001</v>
      </c>
      <c r="Q18" s="3"/>
      <c r="R18" s="20">
        <f>IF(P$12=0,0,P18/P$12)</f>
        <v>0.16512211138332455</v>
      </c>
      <c r="S18" s="3"/>
      <c r="T18" s="3">
        <v>11629</v>
      </c>
      <c r="U18" s="3"/>
      <c r="V18" s="20">
        <f>IF(T$12=0,0,T18/T$12)</f>
        <v>0</v>
      </c>
      <c r="W18" s="3"/>
      <c r="X18" s="3">
        <f>+P18-T18</f>
        <v>9276.8100000000013</v>
      </c>
      <c r="Y18" s="3"/>
      <c r="Z18" s="20">
        <f>IF(T18=0,0,X18/T18)</f>
        <v>0.79773067331670833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3">
        <f>D12-D16</f>
        <v>23378.000000000004</v>
      </c>
      <c r="E20" s="15"/>
      <c r="F20" s="22">
        <f>IF(D$12=0,0,D20/D$12)</f>
        <v>0.50748991554280676</v>
      </c>
      <c r="G20" s="15"/>
      <c r="H20" s="23">
        <f>H12-H16</f>
        <v>0</v>
      </c>
      <c r="I20" s="15"/>
      <c r="J20" s="22">
        <f>IF(H$12=0,0,H20/H$12)</f>
        <v>0</v>
      </c>
      <c r="K20" s="17"/>
      <c r="L20" s="23">
        <f>+D20-H20</f>
        <v>23378.000000000004</v>
      </c>
      <c r="M20" s="17"/>
      <c r="N20" s="22">
        <f>IF(H20=0,0,L20/H20)</f>
        <v>0</v>
      </c>
      <c r="O20" s="27"/>
      <c r="P20" s="23">
        <f>P12-P16</f>
        <v>63809.759999999995</v>
      </c>
      <c r="Q20" s="15"/>
      <c r="R20" s="22">
        <f>IF(P$12=0,0,P20/P$12)</f>
        <v>0.50399397574469518</v>
      </c>
      <c r="S20" s="15"/>
      <c r="T20" s="23">
        <f>T12-T16</f>
        <v>-10641.24</v>
      </c>
      <c r="U20" s="15"/>
      <c r="V20" s="22">
        <f>IF(T$12=0,0,T20/T$12)</f>
        <v>0</v>
      </c>
      <c r="W20" s="17"/>
      <c r="X20" s="23">
        <f>+P20-T20</f>
        <v>74451</v>
      </c>
      <c r="Y20" s="17"/>
      <c r="Z20" s="22">
        <f>IF(T20=0,0,X20/T20)</f>
        <v>-6.9964590592825653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1" cm="1">
        <f t="array" ref="D22">SUM(OSRRefD22x_0)</f>
        <v>31906.83</v>
      </c>
      <c r="E22" s="21"/>
      <c r="F22" s="30">
        <f t="shared" ref="F22:F53" si="0">IF(D$12=0,0,D22/D$12)</f>
        <v>0.6926338635443019</v>
      </c>
      <c r="G22" s="21"/>
      <c r="H22" s="21" cm="1">
        <f t="array" ref="H22">SUM(OSRRefH22x_0)</f>
        <v>11082.15</v>
      </c>
      <c r="I22" s="21"/>
      <c r="J22" s="30">
        <f t="shared" ref="J22:J53" si="1">IF(H$12=0,0,H22/H$12)</f>
        <v>0</v>
      </c>
      <c r="K22" s="5"/>
      <c r="L22" s="21">
        <f t="shared" ref="L22:L53" si="2">+D22-H22</f>
        <v>20824.68</v>
      </c>
      <c r="M22" s="5"/>
      <c r="N22" s="30">
        <f t="shared" ref="N22:N53" si="3">IF(H22=0,0,L22/H22)</f>
        <v>1.8791191239966976</v>
      </c>
      <c r="O22" s="11"/>
      <c r="P22" s="21" cm="1">
        <f t="array" ref="P22">SUM(OSRRefP22x_0)</f>
        <v>153861.34000000003</v>
      </c>
      <c r="Q22" s="21"/>
      <c r="R22" s="30">
        <f t="shared" ref="R22:R53" si="4">IF(P$12=0,0,P22/P$12)</f>
        <v>1.2152559179035669</v>
      </c>
      <c r="S22" s="21"/>
      <c r="T22" s="21" cm="1">
        <f t="array" ref="T22">SUM(OSRRefT22x_0)</f>
        <v>91515.72</v>
      </c>
      <c r="U22" s="21"/>
      <c r="V22" s="30">
        <f t="shared" ref="V22:V53" si="5">IF(T$12=0,0,T22/T$12)</f>
        <v>0</v>
      </c>
      <c r="W22" s="5"/>
      <c r="X22" s="21">
        <f t="shared" ref="X22:X53" si="6">+P22-T22</f>
        <v>62345.620000000024</v>
      </c>
      <c r="Y22" s="5"/>
      <c r="Z22" s="30">
        <f t="shared" ref="Z22:Z53" si="7">IF(T22=0,0,X22/T22)</f>
        <v>0.68125585418548884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3975.66</v>
      </c>
      <c r="E23" s="2"/>
      <c r="F23" s="6">
        <f t="shared" si="0"/>
        <v>8.6303676859736278E-2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3975.66</v>
      </c>
      <c r="M23" s="2"/>
      <c r="N23" s="6">
        <f t="shared" si="3"/>
        <v>0</v>
      </c>
      <c r="O23" s="14"/>
      <c r="P23" s="2">
        <f>SUM(OSRRefP22_0x_0)</f>
        <v>9335.85</v>
      </c>
      <c r="Q23" s="2"/>
      <c r="R23" s="6">
        <f t="shared" si="4"/>
        <v>7.3738126557067643E-2</v>
      </c>
      <c r="S23" s="2"/>
      <c r="T23" s="2">
        <f>SUM(OSRRefT22_0x_0)</f>
        <v>2889.72</v>
      </c>
      <c r="U23" s="2"/>
      <c r="V23" s="6">
        <f t="shared" si="5"/>
        <v>0</v>
      </c>
      <c r="W23" s="2"/>
      <c r="X23" s="2">
        <f t="shared" si="6"/>
        <v>6446.130000000001</v>
      </c>
      <c r="Y23" s="2"/>
      <c r="Z23" s="6">
        <f t="shared" si="7"/>
        <v>2.2307109339313156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596.1</v>
      </c>
      <c r="E24" s="3"/>
      <c r="F24" s="7">
        <f t="shared" si="0"/>
        <v>1.2940146233855209E-2</v>
      </c>
      <c r="G24" s="3"/>
      <c r="H24" s="8"/>
      <c r="I24" s="3"/>
      <c r="J24" s="7">
        <f t="shared" si="1"/>
        <v>0</v>
      </c>
      <c r="K24" s="3"/>
      <c r="L24" s="8">
        <f t="shared" si="2"/>
        <v>596.1</v>
      </c>
      <c r="M24" s="3"/>
      <c r="N24" s="7">
        <f t="shared" si="3"/>
        <v>0</v>
      </c>
      <c r="O24" s="12"/>
      <c r="P24" s="8">
        <v>2123.56</v>
      </c>
      <c r="Q24" s="3"/>
      <c r="R24" s="7">
        <f t="shared" si="4"/>
        <v>1.6772691938230215E-2</v>
      </c>
      <c r="S24" s="3"/>
      <c r="T24" s="8">
        <v>159.12</v>
      </c>
      <c r="U24" s="3"/>
      <c r="V24" s="7">
        <f t="shared" si="5"/>
        <v>0</v>
      </c>
      <c r="W24" s="3"/>
      <c r="X24" s="8">
        <f t="shared" si="6"/>
        <v>1964.44</v>
      </c>
      <c r="Y24" s="3"/>
      <c r="Z24" s="7">
        <f t="shared" si="7"/>
        <v>12.345651080945199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199.08</v>
      </c>
      <c r="E25" s="3"/>
      <c r="F25" s="7">
        <f t="shared" si="0"/>
        <v>4.3216311226906478E-3</v>
      </c>
      <c r="G25" s="3"/>
      <c r="H25" s="8"/>
      <c r="I25" s="3"/>
      <c r="J25" s="7">
        <f t="shared" si="1"/>
        <v>0</v>
      </c>
      <c r="K25" s="3"/>
      <c r="L25" s="8">
        <f t="shared" si="2"/>
        <v>199.08</v>
      </c>
      <c r="M25" s="3"/>
      <c r="N25" s="7">
        <f t="shared" si="3"/>
        <v>0</v>
      </c>
      <c r="O25" s="12"/>
      <c r="P25" s="8">
        <v>755.39</v>
      </c>
      <c r="Q25" s="3"/>
      <c r="R25" s="7">
        <f t="shared" si="4"/>
        <v>5.9663601514530892E-3</v>
      </c>
      <c r="S25" s="3"/>
      <c r="T25" s="8"/>
      <c r="U25" s="3"/>
      <c r="V25" s="7">
        <f t="shared" si="5"/>
        <v>0</v>
      </c>
      <c r="W25" s="3"/>
      <c r="X25" s="8">
        <f t="shared" si="6"/>
        <v>755.39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1752.24</v>
      </c>
      <c r="E26" s="3"/>
      <c r="F26" s="7">
        <f t="shared" si="0"/>
        <v>3.803764777186789E-2</v>
      </c>
      <c r="G26" s="3"/>
      <c r="H26" s="8"/>
      <c r="I26" s="3"/>
      <c r="J26" s="7">
        <f t="shared" si="1"/>
        <v>0</v>
      </c>
      <c r="K26" s="3"/>
      <c r="L26" s="8">
        <f t="shared" si="2"/>
        <v>1752.24</v>
      </c>
      <c r="M26" s="3"/>
      <c r="N26" s="7">
        <f t="shared" si="3"/>
        <v>0</v>
      </c>
      <c r="O26" s="12"/>
      <c r="P26" s="8">
        <v>3504.48</v>
      </c>
      <c r="Q26" s="3"/>
      <c r="R26" s="7">
        <f t="shared" si="4"/>
        <v>2.7679728118672902E-2</v>
      </c>
      <c r="S26" s="3"/>
      <c r="T26" s="8">
        <v>1915.63</v>
      </c>
      <c r="U26" s="3"/>
      <c r="V26" s="7">
        <f t="shared" si="5"/>
        <v>0</v>
      </c>
      <c r="W26" s="3"/>
      <c r="X26" s="8">
        <f t="shared" si="6"/>
        <v>1588.85</v>
      </c>
      <c r="Y26" s="3"/>
      <c r="Z26" s="7">
        <f t="shared" si="7"/>
        <v>0.82941382208464043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34.97</v>
      </c>
      <c r="E27" s="3"/>
      <c r="F27" s="7">
        <f t="shared" si="0"/>
        <v>7.5912919610454047E-4</v>
      </c>
      <c r="G27" s="3"/>
      <c r="H27" s="8"/>
      <c r="I27" s="3"/>
      <c r="J27" s="7">
        <f t="shared" si="1"/>
        <v>0</v>
      </c>
      <c r="K27" s="3"/>
      <c r="L27" s="8">
        <f t="shared" si="2"/>
        <v>34.97</v>
      </c>
      <c r="M27" s="3"/>
      <c r="N27" s="7">
        <f t="shared" si="3"/>
        <v>0</v>
      </c>
      <c r="O27" s="12"/>
      <c r="P27" s="8">
        <v>112.01</v>
      </c>
      <c r="Q27" s="3"/>
      <c r="R27" s="7">
        <f t="shared" si="4"/>
        <v>8.846979713317102E-4</v>
      </c>
      <c r="S27" s="3"/>
      <c r="T27" s="8"/>
      <c r="U27" s="3"/>
      <c r="V27" s="7">
        <f t="shared" si="5"/>
        <v>0</v>
      </c>
      <c r="W27" s="3"/>
      <c r="X27" s="8">
        <f t="shared" si="6"/>
        <v>112.01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548.17999999999995</v>
      </c>
      <c r="E28" s="3"/>
      <c r="F28" s="7">
        <f t="shared" si="0"/>
        <v>1.1899898276253561E-2</v>
      </c>
      <c r="G28" s="3"/>
      <c r="H28" s="8"/>
      <c r="I28" s="3"/>
      <c r="J28" s="7">
        <f t="shared" si="1"/>
        <v>0</v>
      </c>
      <c r="K28" s="3"/>
      <c r="L28" s="8">
        <f t="shared" si="2"/>
        <v>548.17999999999995</v>
      </c>
      <c r="M28" s="3"/>
      <c r="N28" s="7">
        <f t="shared" si="3"/>
        <v>0</v>
      </c>
      <c r="O28" s="12"/>
      <c r="P28" s="8">
        <v>1096.3599999999999</v>
      </c>
      <c r="Q28" s="3"/>
      <c r="R28" s="7">
        <f t="shared" si="4"/>
        <v>8.6594720815037374E-3</v>
      </c>
      <c r="S28" s="3"/>
      <c r="T28" s="8">
        <v>458.89</v>
      </c>
      <c r="U28" s="3"/>
      <c r="V28" s="7">
        <f t="shared" si="5"/>
        <v>0</v>
      </c>
      <c r="W28" s="3"/>
      <c r="X28" s="8">
        <f t="shared" si="6"/>
        <v>637.46999999999991</v>
      </c>
      <c r="Y28" s="3"/>
      <c r="Z28" s="7">
        <f t="shared" si="7"/>
        <v>1.3891564427204774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368.44</v>
      </c>
      <c r="E29" s="3"/>
      <c r="F29" s="7">
        <f t="shared" si="0"/>
        <v>7.9981001147485537E-3</v>
      </c>
      <c r="G29" s="3"/>
      <c r="H29" s="8"/>
      <c r="I29" s="3"/>
      <c r="J29" s="7">
        <f t="shared" si="1"/>
        <v>0</v>
      </c>
      <c r="K29" s="3"/>
      <c r="L29" s="8">
        <f t="shared" si="2"/>
        <v>368.44</v>
      </c>
      <c r="M29" s="3"/>
      <c r="N29" s="7">
        <f t="shared" si="3"/>
        <v>0</v>
      </c>
      <c r="O29" s="12"/>
      <c r="P29" s="8">
        <v>736.88</v>
      </c>
      <c r="Q29" s="3"/>
      <c r="R29" s="7">
        <f t="shared" si="4"/>
        <v>5.8201610670021485E-3</v>
      </c>
      <c r="S29" s="3"/>
      <c r="T29" s="8">
        <v>152.1</v>
      </c>
      <c r="U29" s="3"/>
      <c r="V29" s="7">
        <f t="shared" si="5"/>
        <v>0</v>
      </c>
      <c r="W29" s="3"/>
      <c r="X29" s="8">
        <f t="shared" si="6"/>
        <v>584.78</v>
      </c>
      <c r="Y29" s="3"/>
      <c r="Z29" s="7">
        <f t="shared" si="7"/>
        <v>3.8447074293228138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232.4</v>
      </c>
      <c r="E30" s="3"/>
      <c r="F30" s="7">
        <f t="shared" si="0"/>
        <v>5.0449420982183364E-3</v>
      </c>
      <c r="G30" s="3"/>
      <c r="H30" s="8"/>
      <c r="I30" s="3"/>
      <c r="J30" s="7">
        <f t="shared" si="1"/>
        <v>0</v>
      </c>
      <c r="K30" s="3"/>
      <c r="L30" s="8">
        <f t="shared" si="2"/>
        <v>232.4</v>
      </c>
      <c r="M30" s="3"/>
      <c r="N30" s="7">
        <f t="shared" si="3"/>
        <v>0</v>
      </c>
      <c r="O30" s="12"/>
      <c r="P30" s="8">
        <v>464.8</v>
      </c>
      <c r="Q30" s="3"/>
      <c r="R30" s="7">
        <f t="shared" si="4"/>
        <v>3.6711687980981959E-3</v>
      </c>
      <c r="S30" s="3"/>
      <c r="T30" s="8">
        <v>203.98</v>
      </c>
      <c r="U30" s="3"/>
      <c r="V30" s="7">
        <f t="shared" si="5"/>
        <v>0</v>
      </c>
      <c r="W30" s="3"/>
      <c r="X30" s="8">
        <f t="shared" si="6"/>
        <v>260.82000000000005</v>
      </c>
      <c r="Y30" s="3"/>
      <c r="Z30" s="7">
        <f t="shared" si="7"/>
        <v>1.278654770075498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244.25</v>
      </c>
      <c r="E31" s="3"/>
      <c r="F31" s="7">
        <f t="shared" si="0"/>
        <v>5.3021820459975416E-3</v>
      </c>
      <c r="G31" s="3"/>
      <c r="H31" s="8"/>
      <c r="I31" s="3"/>
      <c r="J31" s="7">
        <f t="shared" si="1"/>
        <v>0</v>
      </c>
      <c r="K31" s="3"/>
      <c r="L31" s="8">
        <f t="shared" si="2"/>
        <v>244.25</v>
      </c>
      <c r="M31" s="3"/>
      <c r="N31" s="7">
        <f t="shared" si="3"/>
        <v>0</v>
      </c>
      <c r="O31" s="12"/>
      <c r="P31" s="8">
        <v>542.37</v>
      </c>
      <c r="Q31" s="3"/>
      <c r="R31" s="7">
        <f t="shared" si="4"/>
        <v>4.2838464307756417E-3</v>
      </c>
      <c r="S31" s="3"/>
      <c r="T31" s="8"/>
      <c r="U31" s="3"/>
      <c r="V31" s="7">
        <f t="shared" si="5"/>
        <v>0</v>
      </c>
      <c r="W31" s="3"/>
      <c r="X31" s="8">
        <f t="shared" si="6"/>
        <v>542.37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15587.349999999999</v>
      </c>
      <c r="E32" s="2"/>
      <c r="F32" s="6">
        <f t="shared" si="0"/>
        <v>0.33837038818702053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15587.349999999999</v>
      </c>
      <c r="M32" s="2"/>
      <c r="N32" s="6">
        <f t="shared" si="3"/>
        <v>0</v>
      </c>
      <c r="O32" s="14"/>
      <c r="P32" s="2">
        <f>SUM(OSRRefP22_1x_0)</f>
        <v>45720.959999999999</v>
      </c>
      <c r="Q32" s="2"/>
      <c r="R32" s="6">
        <f t="shared" si="4"/>
        <v>0.36112169055743476</v>
      </c>
      <c r="S32" s="2"/>
      <c r="T32" s="2">
        <f>SUM(OSRRefT22_1x_0)</f>
        <v>884</v>
      </c>
      <c r="U32" s="2"/>
      <c r="V32" s="6">
        <f t="shared" si="5"/>
        <v>0</v>
      </c>
      <c r="W32" s="2"/>
      <c r="X32" s="2">
        <f t="shared" si="6"/>
        <v>44836.959999999999</v>
      </c>
      <c r="Y32" s="2"/>
      <c r="Z32" s="6">
        <f t="shared" si="7"/>
        <v>50.720542986425336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5038.46</v>
      </c>
      <c r="E33" s="3"/>
      <c r="F33" s="7">
        <f t="shared" si="0"/>
        <v>0.10937495251372271</v>
      </c>
      <c r="G33" s="3"/>
      <c r="H33" s="8"/>
      <c r="I33" s="3"/>
      <c r="J33" s="7">
        <f t="shared" si="1"/>
        <v>0</v>
      </c>
      <c r="K33" s="3"/>
      <c r="L33" s="8">
        <f t="shared" si="2"/>
        <v>5038.46</v>
      </c>
      <c r="M33" s="3"/>
      <c r="N33" s="7">
        <f t="shared" si="3"/>
        <v>0</v>
      </c>
      <c r="O33" s="12"/>
      <c r="P33" s="8">
        <v>11085</v>
      </c>
      <c r="Q33" s="3"/>
      <c r="R33" s="7">
        <f t="shared" si="4"/>
        <v>8.7553584610409851E-2</v>
      </c>
      <c r="S33" s="3"/>
      <c r="T33" s="8">
        <v>884</v>
      </c>
      <c r="U33" s="3"/>
      <c r="V33" s="7">
        <f t="shared" si="5"/>
        <v>0</v>
      </c>
      <c r="W33" s="3"/>
      <c r="X33" s="8">
        <f t="shared" si="6"/>
        <v>10201</v>
      </c>
      <c r="Y33" s="3"/>
      <c r="Z33" s="7">
        <f t="shared" si="7"/>
        <v>11.539592760180996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3653.66</v>
      </c>
      <c r="E34" s="3"/>
      <c r="F34" s="7">
        <f t="shared" si="0"/>
        <v>7.9313696844132558E-2</v>
      </c>
      <c r="G34" s="3"/>
      <c r="H34" s="8"/>
      <c r="I34" s="3"/>
      <c r="J34" s="7">
        <f t="shared" si="1"/>
        <v>0</v>
      </c>
      <c r="K34" s="3"/>
      <c r="L34" s="8">
        <f t="shared" si="2"/>
        <v>3653.66</v>
      </c>
      <c r="M34" s="3"/>
      <c r="N34" s="7">
        <f t="shared" si="3"/>
        <v>0</v>
      </c>
      <c r="O34" s="12"/>
      <c r="P34" s="8">
        <v>17658.39</v>
      </c>
      <c r="Q34" s="3"/>
      <c r="R34" s="7">
        <f t="shared" si="4"/>
        <v>0.13947274180862565</v>
      </c>
      <c r="S34" s="3"/>
      <c r="T34" s="8"/>
      <c r="U34" s="3"/>
      <c r="V34" s="7">
        <f t="shared" si="5"/>
        <v>0</v>
      </c>
      <c r="W34" s="3"/>
      <c r="X34" s="8">
        <f t="shared" si="6"/>
        <v>17658.39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6895.23</v>
      </c>
      <c r="E35" s="3"/>
      <c r="F35" s="7">
        <f t="shared" si="0"/>
        <v>0.1496817388291653</v>
      </c>
      <c r="G35" s="3"/>
      <c r="H35" s="8"/>
      <c r="I35" s="3"/>
      <c r="J35" s="7">
        <f t="shared" si="1"/>
        <v>0</v>
      </c>
      <c r="K35" s="3"/>
      <c r="L35" s="8">
        <f t="shared" si="2"/>
        <v>6895.23</v>
      </c>
      <c r="M35" s="3"/>
      <c r="N35" s="7">
        <f t="shared" si="3"/>
        <v>0</v>
      </c>
      <c r="O35" s="12"/>
      <c r="P35" s="8">
        <v>16977.57</v>
      </c>
      <c r="Q35" s="3"/>
      <c r="R35" s="7">
        <f t="shared" si="4"/>
        <v>0.13409536413839929</v>
      </c>
      <c r="S35" s="3"/>
      <c r="T35" s="8"/>
      <c r="U35" s="3"/>
      <c r="V35" s="7">
        <f t="shared" si="5"/>
        <v>0</v>
      </c>
      <c r="W35" s="3"/>
      <c r="X35" s="8">
        <f t="shared" si="6"/>
        <v>16977.57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91.22</v>
      </c>
      <c r="Q36" s="2"/>
      <c r="R36" s="6">
        <f t="shared" si="4"/>
        <v>7.2049057177822162E-4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91.22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","6362"," - ","ADVERTISING EXPENSE")</f>
        <v xml:space="preserve">          6362 - ADVERTISING EXPENSE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91.22</v>
      </c>
      <c r="Q37" s="3"/>
      <c r="R37" s="7">
        <f t="shared" si="4"/>
        <v>7.2049057177822162E-4</v>
      </c>
      <c r="S37" s="3"/>
      <c r="T37" s="8"/>
      <c r="U37" s="3"/>
      <c r="V37" s="7">
        <f t="shared" si="5"/>
        <v>0</v>
      </c>
      <c r="W37" s="3"/>
      <c r="X37" s="8">
        <f t="shared" si="6"/>
        <v>91.22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","Bad Debts/Over/Short                              ")</f>
        <v xml:space="preserve">     Bad Debts/Over/Short                              </v>
      </c>
      <c r="C38" s="14"/>
      <c r="D38" s="2">
        <f>SUM(OSRRefD22_3x_0)</f>
        <v>10.59</v>
      </c>
      <c r="E38" s="2"/>
      <c r="F38" s="6">
        <f t="shared" si="0"/>
        <v>2.2988785206597324E-4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10.59</v>
      </c>
      <c r="M38" s="2"/>
      <c r="N38" s="6">
        <f t="shared" si="3"/>
        <v>0</v>
      </c>
      <c r="O38" s="14"/>
      <c r="P38" s="2">
        <f>SUM(OSRRefP22_3x_0)</f>
        <v>19.91</v>
      </c>
      <c r="Q38" s="2"/>
      <c r="R38" s="6">
        <f t="shared" si="4"/>
        <v>1.5725682179461075E-4</v>
      </c>
      <c r="S38" s="2"/>
      <c r="T38" s="2">
        <f>SUM(OSRRefT22_3x_0)</f>
        <v>0</v>
      </c>
      <c r="U38" s="2"/>
      <c r="V38" s="6">
        <f t="shared" si="5"/>
        <v>0</v>
      </c>
      <c r="W38" s="2"/>
      <c r="X38" s="2">
        <f t="shared" si="6"/>
        <v>19.91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","6272"," - ","CASH (OVER/SHORT)")</f>
        <v xml:space="preserve">          6272 - CASH (OVER/SHORT)</v>
      </c>
      <c r="C39" s="12"/>
      <c r="D39" s="8">
        <v>10.59</v>
      </c>
      <c r="E39" s="3"/>
      <c r="F39" s="7">
        <f t="shared" si="0"/>
        <v>2.2988785206597324E-4</v>
      </c>
      <c r="G39" s="3"/>
      <c r="H39" s="8"/>
      <c r="I39" s="3"/>
      <c r="J39" s="7">
        <f t="shared" si="1"/>
        <v>0</v>
      </c>
      <c r="K39" s="3"/>
      <c r="L39" s="8">
        <f t="shared" si="2"/>
        <v>10.59</v>
      </c>
      <c r="M39" s="3"/>
      <c r="N39" s="7">
        <f t="shared" si="3"/>
        <v>0</v>
      </c>
      <c r="O39" s="12"/>
      <c r="P39" s="8">
        <v>19.91</v>
      </c>
      <c r="Q39" s="3"/>
      <c r="R39" s="7">
        <f t="shared" si="4"/>
        <v>1.5725682179461075E-4</v>
      </c>
      <c r="S39" s="3"/>
      <c r="T39" s="8"/>
      <c r="U39" s="3"/>
      <c r="V39" s="7">
        <f t="shared" si="5"/>
        <v>0</v>
      </c>
      <c r="W39" s="3"/>
      <c r="X39" s="8">
        <f t="shared" si="6"/>
        <v>19.91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SUM(OSRRefD22_4x_0)</f>
        <v>1790.85</v>
      </c>
      <c r="E40" s="2"/>
      <c r="F40" s="6">
        <f t="shared" si="0"/>
        <v>3.8875794133366212E-2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1790.85</v>
      </c>
      <c r="M40" s="2"/>
      <c r="N40" s="6">
        <f t="shared" si="3"/>
        <v>0</v>
      </c>
      <c r="O40" s="14"/>
      <c r="P40" s="2">
        <f>SUM(OSRRefP22_4x_0)</f>
        <v>5112.92</v>
      </c>
      <c r="Q40" s="2"/>
      <c r="R40" s="6">
        <f t="shared" si="4"/>
        <v>4.0383804585138183E-2</v>
      </c>
      <c r="S40" s="2"/>
      <c r="T40" s="2">
        <f>SUM(OSRRefT22_4x_0)</f>
        <v>0</v>
      </c>
      <c r="U40" s="2"/>
      <c r="V40" s="6">
        <f t="shared" si="5"/>
        <v>0</v>
      </c>
      <c r="W40" s="2"/>
      <c r="X40" s="2">
        <f t="shared" si="6"/>
        <v>5112.92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8">
        <v>1790.85</v>
      </c>
      <c r="E41" s="3"/>
      <c r="F41" s="7">
        <f t="shared" si="0"/>
        <v>3.8875794133366212E-2</v>
      </c>
      <c r="G41" s="3"/>
      <c r="H41" s="8"/>
      <c r="I41" s="3"/>
      <c r="J41" s="7">
        <f t="shared" si="1"/>
        <v>0</v>
      </c>
      <c r="K41" s="3"/>
      <c r="L41" s="8">
        <f t="shared" si="2"/>
        <v>1790.85</v>
      </c>
      <c r="M41" s="3"/>
      <c r="N41" s="7">
        <f t="shared" si="3"/>
        <v>0</v>
      </c>
      <c r="O41" s="12"/>
      <c r="P41" s="8">
        <v>5112.92</v>
      </c>
      <c r="Q41" s="3"/>
      <c r="R41" s="7">
        <f t="shared" si="4"/>
        <v>4.0383804585138183E-2</v>
      </c>
      <c r="S41" s="3"/>
      <c r="T41" s="8"/>
      <c r="U41" s="3"/>
      <c r="V41" s="7">
        <f t="shared" si="5"/>
        <v>0</v>
      </c>
      <c r="W41" s="3"/>
      <c r="X41" s="8">
        <f t="shared" si="6"/>
        <v>5112.92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SUM(OSRRefD22_5x_0)</f>
        <v>5471.21</v>
      </c>
      <c r="E42" s="2"/>
      <c r="F42" s="6">
        <f t="shared" si="0"/>
        <v>0.11876909491046964</v>
      </c>
      <c r="G42" s="2"/>
      <c r="H42" s="2">
        <f>SUM(OSRRefH22_5x_0)</f>
        <v>5471.21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SUM(OSRRefP22_5x_0)</f>
        <v>43769.68</v>
      </c>
      <c r="Q42" s="2"/>
      <c r="R42" s="6">
        <f t="shared" si="4"/>
        <v>0.34570973218318124</v>
      </c>
      <c r="S42" s="2"/>
      <c r="T42" s="2">
        <f>SUM(OSRRefT22_5x_0)</f>
        <v>44215.18</v>
      </c>
      <c r="U42" s="2"/>
      <c r="V42" s="6">
        <f t="shared" si="5"/>
        <v>0</v>
      </c>
      <c r="W42" s="2"/>
      <c r="X42" s="2">
        <f t="shared" si="6"/>
        <v>-445.5</v>
      </c>
      <c r="Y42" s="2"/>
      <c r="Z42" s="6">
        <f t="shared" si="7"/>
        <v>-1.0075725124267276E-2</v>
      </c>
    </row>
    <row r="43" spans="1:26" s="69" customFormat="1" ht="15" hidden="1" customHeight="1" outlineLevel="2" x14ac:dyDescent="0.3">
      <c r="A43" s="26"/>
      <c r="B43" s="12" t="str">
        <f>CONCATENATE("          ","6321"," - ","BUILDING DEPRECIATION")</f>
        <v xml:space="preserve">          6321 - BUILDING DEPRECIATION</v>
      </c>
      <c r="C43" s="12"/>
      <c r="D43" s="8">
        <v>5080.51</v>
      </c>
      <c r="E43" s="3"/>
      <c r="F43" s="7">
        <f t="shared" si="0"/>
        <v>0.11028777443812066</v>
      </c>
      <c r="G43" s="3"/>
      <c r="H43" s="8">
        <v>5080.51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40644.080000000002</v>
      </c>
      <c r="Q43" s="3"/>
      <c r="R43" s="7">
        <f t="shared" si="4"/>
        <v>0.3210225437250579</v>
      </c>
      <c r="S43" s="3"/>
      <c r="T43" s="8">
        <v>40644.080000000002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390.7</v>
      </c>
      <c r="E44" s="3"/>
      <c r="F44" s="7">
        <f t="shared" si="0"/>
        <v>8.4813204723489851E-3</v>
      </c>
      <c r="G44" s="3"/>
      <c r="H44" s="8">
        <v>390.7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3125.6</v>
      </c>
      <c r="Q44" s="3"/>
      <c r="R44" s="7">
        <f t="shared" si="4"/>
        <v>2.4687188458123323E-2</v>
      </c>
      <c r="S44" s="3"/>
      <c r="T44" s="8">
        <v>3571.1</v>
      </c>
      <c r="U44" s="3"/>
      <c r="V44" s="7">
        <f t="shared" si="5"/>
        <v>0</v>
      </c>
      <c r="W44" s="3"/>
      <c r="X44" s="8">
        <f t="shared" si="6"/>
        <v>-445.5</v>
      </c>
      <c r="Y44" s="3"/>
      <c r="Z44" s="7">
        <f t="shared" si="7"/>
        <v>-0.1247514771358965</v>
      </c>
    </row>
    <row r="45" spans="1:26" s="68" customFormat="1" ht="15" customHeight="1" outlineLevel="1" collapsed="1" x14ac:dyDescent="0.3">
      <c r="A45" s="25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SUM(OSRRefD22_6x_0)</f>
        <v>0</v>
      </c>
      <c r="E45" s="2"/>
      <c r="F45" s="6">
        <f t="shared" si="0"/>
        <v>0</v>
      </c>
      <c r="G45" s="2"/>
      <c r="H45" s="2">
        <f>SUM(OSRRefH22_6x_0)</f>
        <v>176.4</v>
      </c>
      <c r="I45" s="2"/>
      <c r="J45" s="6">
        <f t="shared" si="1"/>
        <v>0</v>
      </c>
      <c r="K45" s="2"/>
      <c r="L45" s="2">
        <f t="shared" si="2"/>
        <v>-176.4</v>
      </c>
      <c r="M45" s="2"/>
      <c r="N45" s="6">
        <f t="shared" si="3"/>
        <v>-1</v>
      </c>
      <c r="O45" s="14"/>
      <c r="P45" s="2">
        <f>SUM(OSRRefP22_6x_0)</f>
        <v>0</v>
      </c>
      <c r="Q45" s="2"/>
      <c r="R45" s="6">
        <f t="shared" si="4"/>
        <v>0</v>
      </c>
      <c r="S45" s="2"/>
      <c r="T45" s="2">
        <f>SUM(OSRRefT22_6x_0)</f>
        <v>428.95</v>
      </c>
      <c r="U45" s="2"/>
      <c r="V45" s="6">
        <f t="shared" si="5"/>
        <v>0</v>
      </c>
      <c r="W45" s="2"/>
      <c r="X45" s="2">
        <f t="shared" si="6"/>
        <v>-428.95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6"/>
      <c r="B46" s="12" t="str">
        <f>CONCATENATE("          ","6351"," - ","EQUIPMENT RENTAL")</f>
        <v xml:space="preserve">          6351 - EQUIPMENT RENTAL</v>
      </c>
      <c r="C46" s="12"/>
      <c r="D46" s="8"/>
      <c r="E46" s="3"/>
      <c r="F46" s="7">
        <f t="shared" si="0"/>
        <v>0</v>
      </c>
      <c r="G46" s="3"/>
      <c r="H46" s="8">
        <v>176.4</v>
      </c>
      <c r="I46" s="3"/>
      <c r="J46" s="7">
        <f t="shared" si="1"/>
        <v>0</v>
      </c>
      <c r="K46" s="3"/>
      <c r="L46" s="8">
        <f t="shared" si="2"/>
        <v>-176.4</v>
      </c>
      <c r="M46" s="3"/>
      <c r="N46" s="7">
        <f t="shared" si="3"/>
        <v>-1</v>
      </c>
      <c r="O46" s="12"/>
      <c r="P46" s="8"/>
      <c r="Q46" s="3"/>
      <c r="R46" s="7">
        <f t="shared" si="4"/>
        <v>0</v>
      </c>
      <c r="S46" s="3"/>
      <c r="T46" s="8">
        <v>428.95</v>
      </c>
      <c r="U46" s="3"/>
      <c r="V46" s="7">
        <f t="shared" si="5"/>
        <v>0</v>
      </c>
      <c r="W46" s="3"/>
      <c r="X46" s="8">
        <f t="shared" si="6"/>
        <v>-428.95</v>
      </c>
      <c r="Y46" s="3"/>
      <c r="Z46" s="7">
        <f t="shared" si="7"/>
        <v>-1</v>
      </c>
    </row>
    <row r="47" spans="1:26" s="68" customFormat="1" ht="15" customHeight="1" outlineLevel="1" collapsed="1" x14ac:dyDescent="0.3">
      <c r="A47" s="25"/>
      <c r="B47" s="14" t="str">
        <f>CONCATENATE("     ","General                                           ")</f>
        <v xml:space="preserve">     General                                           </v>
      </c>
      <c r="C47" s="14"/>
      <c r="D47" s="2">
        <f>SUM(OSRRefD22_7x_0)</f>
        <v>0</v>
      </c>
      <c r="E47" s="2"/>
      <c r="F47" s="6">
        <f t="shared" si="0"/>
        <v>0</v>
      </c>
      <c r="G47" s="2"/>
      <c r="H47" s="2">
        <f>SUM(OSRRefH22_7x_0)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SUM(OSRRefP22_7x_0)</f>
        <v>1002.45</v>
      </c>
      <c r="Q47" s="2"/>
      <c r="R47" s="6">
        <f t="shared" si="4"/>
        <v>7.9177348572580398E-3</v>
      </c>
      <c r="S47" s="2"/>
      <c r="T47" s="2">
        <f>SUM(OSRRefT22_7x_0)</f>
        <v>914.55</v>
      </c>
      <c r="U47" s="2"/>
      <c r="V47" s="6">
        <f t="shared" si="5"/>
        <v>0</v>
      </c>
      <c r="W47" s="2"/>
      <c r="X47" s="2">
        <f t="shared" si="6"/>
        <v>87.900000000000091</v>
      </c>
      <c r="Y47" s="2"/>
      <c r="Z47" s="6">
        <f t="shared" si="7"/>
        <v>9.6112842381499197E-2</v>
      </c>
    </row>
    <row r="48" spans="1:26" s="69" customFormat="1" ht="15" hidden="1" customHeight="1" outlineLevel="2" x14ac:dyDescent="0.3">
      <c r="A48" s="26"/>
      <c r="B48" s="12" t="str">
        <f>CONCATENATE("          ","6279"," - ","GENERAL EXPENSE")</f>
        <v xml:space="preserve">          6279 - GENERAL EXPENSE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1002.45</v>
      </c>
      <c r="Q48" s="3"/>
      <c r="R48" s="7">
        <f t="shared" si="4"/>
        <v>7.9177348572580398E-3</v>
      </c>
      <c r="S48" s="3"/>
      <c r="T48" s="8">
        <v>914.55</v>
      </c>
      <c r="U48" s="3"/>
      <c r="V48" s="7">
        <f t="shared" si="5"/>
        <v>0</v>
      </c>
      <c r="W48" s="3"/>
      <c r="X48" s="8">
        <f t="shared" si="6"/>
        <v>87.900000000000091</v>
      </c>
      <c r="Y48" s="3"/>
      <c r="Z48" s="7">
        <f t="shared" si="7"/>
        <v>9.6112842381499197E-2</v>
      </c>
    </row>
    <row r="49" spans="1:26" s="68" customFormat="1" ht="15" customHeight="1" outlineLevel="1" collapsed="1" x14ac:dyDescent="0.3">
      <c r="A49" s="25"/>
      <c r="B49" s="14" t="str">
        <f>CONCATENATE("     ","Insurance                                         ")</f>
        <v xml:space="preserve">     Insurance                                         </v>
      </c>
      <c r="C49" s="14"/>
      <c r="D49" s="2">
        <f>SUM(OSRRefD22_8x_0)</f>
        <v>331.01</v>
      </c>
      <c r="E49" s="2"/>
      <c r="F49" s="6">
        <f t="shared" si="0"/>
        <v>7.1855692079657984E-3</v>
      </c>
      <c r="G49" s="2"/>
      <c r="H49" s="2">
        <f>SUM(OSRRefH22_8x_0)</f>
        <v>243.54</v>
      </c>
      <c r="I49" s="2"/>
      <c r="J49" s="6">
        <f t="shared" si="1"/>
        <v>0</v>
      </c>
      <c r="K49" s="2"/>
      <c r="L49" s="2">
        <f t="shared" si="2"/>
        <v>87.47</v>
      </c>
      <c r="M49" s="2"/>
      <c r="N49" s="6">
        <f t="shared" si="3"/>
        <v>0.35916071281924944</v>
      </c>
      <c r="O49" s="14"/>
      <c r="P49" s="2">
        <f>SUM(OSRRefP22_8x_0)</f>
        <v>2648.08</v>
      </c>
      <c r="Q49" s="2"/>
      <c r="R49" s="6">
        <f t="shared" si="4"/>
        <v>2.0915552217874073E-2</v>
      </c>
      <c r="S49" s="2"/>
      <c r="T49" s="2">
        <f>SUM(OSRRefT22_8x_0)</f>
        <v>1948.32</v>
      </c>
      <c r="U49" s="2"/>
      <c r="V49" s="6">
        <f t="shared" si="5"/>
        <v>0</v>
      </c>
      <c r="W49" s="2"/>
      <c r="X49" s="2">
        <f t="shared" si="6"/>
        <v>699.76</v>
      </c>
      <c r="Y49" s="2"/>
      <c r="Z49" s="6">
        <f t="shared" si="7"/>
        <v>0.35916071281924944</v>
      </c>
    </row>
    <row r="50" spans="1:26" s="69" customFormat="1" ht="15" hidden="1" customHeight="1" outlineLevel="2" x14ac:dyDescent="0.3">
      <c r="A50" s="26"/>
      <c r="B50" s="12" t="str">
        <f>CONCATENATE("          ","6314"," - ","LIABILITY INSURANCE")</f>
        <v xml:space="preserve">          6314 - LIABILITY INSURANCE</v>
      </c>
      <c r="C50" s="12"/>
      <c r="D50" s="8">
        <v>331.01</v>
      </c>
      <c r="E50" s="3"/>
      <c r="F50" s="7">
        <f t="shared" si="0"/>
        <v>7.1855692079657984E-3</v>
      </c>
      <c r="G50" s="3"/>
      <c r="H50" s="8">
        <v>243.54</v>
      </c>
      <c r="I50" s="3"/>
      <c r="J50" s="7">
        <f t="shared" si="1"/>
        <v>0</v>
      </c>
      <c r="K50" s="3"/>
      <c r="L50" s="8">
        <f t="shared" si="2"/>
        <v>87.47</v>
      </c>
      <c r="M50" s="3"/>
      <c r="N50" s="7">
        <f t="shared" si="3"/>
        <v>0.35916071281924944</v>
      </c>
      <c r="O50" s="12"/>
      <c r="P50" s="8">
        <v>2648.08</v>
      </c>
      <c r="Q50" s="3"/>
      <c r="R50" s="7">
        <f t="shared" si="4"/>
        <v>2.0915552217874073E-2</v>
      </c>
      <c r="S50" s="3"/>
      <c r="T50" s="8">
        <v>1948.32</v>
      </c>
      <c r="U50" s="3"/>
      <c r="V50" s="7">
        <f t="shared" si="5"/>
        <v>0</v>
      </c>
      <c r="W50" s="3"/>
      <c r="X50" s="8">
        <f t="shared" si="6"/>
        <v>699.76</v>
      </c>
      <c r="Y50" s="3"/>
      <c r="Z50" s="7">
        <f t="shared" si="7"/>
        <v>0.35916071281924944</v>
      </c>
    </row>
    <row r="51" spans="1:26" s="68" customFormat="1" ht="15" customHeight="1" outlineLevel="1" collapsed="1" x14ac:dyDescent="0.3">
      <c r="A51" s="25"/>
      <c r="B51" s="14" t="str">
        <f>CONCATENATE("     ","Interest                                          ")</f>
        <v xml:space="preserve">     Interest                                          </v>
      </c>
      <c r="C51" s="14"/>
      <c r="D51" s="2">
        <f>SUM(OSRRefD22_9x_0)</f>
        <v>3905</v>
      </c>
      <c r="E51" s="2"/>
      <c r="F51" s="6">
        <f t="shared" si="0"/>
        <v>8.4769788698548204E-2</v>
      </c>
      <c r="G51" s="2"/>
      <c r="H51" s="2">
        <f>SUM(OSRRefH22_9x_0)</f>
        <v>4044</v>
      </c>
      <c r="I51" s="2"/>
      <c r="J51" s="6">
        <f t="shared" si="1"/>
        <v>0</v>
      </c>
      <c r="K51" s="2"/>
      <c r="L51" s="2">
        <f t="shared" si="2"/>
        <v>-139</v>
      </c>
      <c r="M51" s="2"/>
      <c r="N51" s="6">
        <f t="shared" si="3"/>
        <v>-3.4371909000989118E-2</v>
      </c>
      <c r="O51" s="14"/>
      <c r="P51" s="2">
        <f>SUM(OSRRefP22_9x_0)</f>
        <v>30964</v>
      </c>
      <c r="Q51" s="2"/>
      <c r="R51" s="6">
        <f t="shared" si="4"/>
        <v>0.24456555650669651</v>
      </c>
      <c r="S51" s="2"/>
      <c r="T51" s="2">
        <f>SUM(OSRRefT22_9x_0)</f>
        <v>32089.85</v>
      </c>
      <c r="U51" s="2"/>
      <c r="V51" s="6">
        <f t="shared" si="5"/>
        <v>0</v>
      </c>
      <c r="W51" s="2"/>
      <c r="X51" s="2">
        <f t="shared" si="6"/>
        <v>-1125.8499999999985</v>
      </c>
      <c r="Y51" s="2"/>
      <c r="Z51" s="6">
        <f t="shared" si="7"/>
        <v>-3.5084302357287385E-2</v>
      </c>
    </row>
    <row r="52" spans="1:26" s="69" customFormat="1" ht="15" hidden="1" customHeight="1" outlineLevel="2" x14ac:dyDescent="0.3">
      <c r="A52" s="26"/>
      <c r="B52" s="12" t="str">
        <f>CONCATENATE("          ","6401"," - ","INTEREST EXPENSE")</f>
        <v xml:space="preserve">          6401 - INTEREST EXPENSE</v>
      </c>
      <c r="C52" s="12"/>
      <c r="D52" s="8">
        <v>3905</v>
      </c>
      <c r="E52" s="3"/>
      <c r="F52" s="7">
        <f t="shared" si="0"/>
        <v>8.4769788698548204E-2</v>
      </c>
      <c r="G52" s="3"/>
      <c r="H52" s="8">
        <v>4044</v>
      </c>
      <c r="I52" s="3"/>
      <c r="J52" s="7">
        <f t="shared" si="1"/>
        <v>0</v>
      </c>
      <c r="K52" s="3"/>
      <c r="L52" s="8">
        <f t="shared" si="2"/>
        <v>-139</v>
      </c>
      <c r="M52" s="3"/>
      <c r="N52" s="7">
        <f t="shared" si="3"/>
        <v>-3.4371909000989118E-2</v>
      </c>
      <c r="O52" s="12"/>
      <c r="P52" s="8">
        <v>30964</v>
      </c>
      <c r="Q52" s="3"/>
      <c r="R52" s="7">
        <f t="shared" si="4"/>
        <v>0.24456555650669651</v>
      </c>
      <c r="S52" s="3"/>
      <c r="T52" s="8">
        <v>32089.85</v>
      </c>
      <c r="U52" s="3"/>
      <c r="V52" s="7">
        <f t="shared" si="5"/>
        <v>0</v>
      </c>
      <c r="W52" s="3"/>
      <c r="X52" s="8">
        <f t="shared" si="6"/>
        <v>-1125.8499999999985</v>
      </c>
      <c r="Y52" s="3"/>
      <c r="Z52" s="7">
        <f t="shared" si="7"/>
        <v>-3.5084302357287385E-2</v>
      </c>
    </row>
    <row r="53" spans="1:26" s="68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SUM(OSRRefD22_10x_0)</f>
        <v>0</v>
      </c>
      <c r="E53" s="2"/>
      <c r="F53" s="6">
        <f t="shared" si="0"/>
        <v>0</v>
      </c>
      <c r="G53" s="2"/>
      <c r="H53" s="2">
        <f>SUM(OSRRefH22_10x_0)</f>
        <v>108</v>
      </c>
      <c r="I53" s="2"/>
      <c r="J53" s="6">
        <f t="shared" si="1"/>
        <v>0</v>
      </c>
      <c r="K53" s="2"/>
      <c r="L53" s="2">
        <f t="shared" si="2"/>
        <v>-108</v>
      </c>
      <c r="M53" s="2"/>
      <c r="N53" s="6">
        <f t="shared" si="3"/>
        <v>-1</v>
      </c>
      <c r="O53" s="14"/>
      <c r="P53" s="2">
        <f>SUM(OSRRefP22_10x_0)</f>
        <v>2782.59</v>
      </c>
      <c r="Q53" s="2"/>
      <c r="R53" s="6">
        <f t="shared" si="4"/>
        <v>2.1977963825086187E-2</v>
      </c>
      <c r="S53" s="2"/>
      <c r="T53" s="2">
        <f>SUM(OSRRefT22_10x_0)</f>
        <v>403.64</v>
      </c>
      <c r="U53" s="2"/>
      <c r="V53" s="6">
        <f t="shared" si="5"/>
        <v>0</v>
      </c>
      <c r="W53" s="2"/>
      <c r="X53" s="2">
        <f t="shared" si="6"/>
        <v>2378.9500000000003</v>
      </c>
      <c r="Y53" s="2"/>
      <c r="Z53" s="6">
        <f t="shared" si="7"/>
        <v>5.8937419482707369</v>
      </c>
    </row>
    <row r="54" spans="1:26" s="69" customFormat="1" ht="15" hidden="1" customHeight="1" outlineLevel="2" x14ac:dyDescent="0.3">
      <c r="A54" s="26"/>
      <c r="B54" s="12" t="str">
        <f>CONCATENATE("          ","6373"," - ","MAINTENANCE CONTRACTS")</f>
        <v xml:space="preserve">          6373 - MAINTENANCE CONTRACTS</v>
      </c>
      <c r="C54" s="12"/>
      <c r="D54" s="8"/>
      <c r="E54" s="3"/>
      <c r="F54" s="7">
        <f t="shared" ref="F54:F72" si="8">IF(D$12=0,0,D54/D$12)</f>
        <v>0</v>
      </c>
      <c r="G54" s="3"/>
      <c r="H54" s="8"/>
      <c r="I54" s="3"/>
      <c r="J54" s="7">
        <f t="shared" ref="J54:J72" si="9">IF(H$12=0,0,H54/H$12)</f>
        <v>0</v>
      </c>
      <c r="K54" s="3"/>
      <c r="L54" s="8">
        <f t="shared" ref="L54:L72" si="10">+D54-H54</f>
        <v>0</v>
      </c>
      <c r="M54" s="3"/>
      <c r="N54" s="7">
        <f t="shared" ref="N54:N72" si="11">IF(H54=0,0,L54/H54)</f>
        <v>0</v>
      </c>
      <c r="O54" s="12"/>
      <c r="P54" s="8">
        <v>621.34</v>
      </c>
      <c r="Q54" s="3"/>
      <c r="R54" s="7">
        <f t="shared" ref="R54:R72" si="12">IF(P$12=0,0,P54/P$12)</f>
        <v>4.9075818007967582E-3</v>
      </c>
      <c r="S54" s="3"/>
      <c r="T54" s="8">
        <v>295.64</v>
      </c>
      <c r="U54" s="3"/>
      <c r="V54" s="7">
        <f t="shared" ref="V54:V72" si="13">IF(T$12=0,0,T54/T$12)</f>
        <v>0</v>
      </c>
      <c r="W54" s="3"/>
      <c r="X54" s="8">
        <f t="shared" ref="X54:X72" si="14">+P54-T54</f>
        <v>325.70000000000005</v>
      </c>
      <c r="Y54" s="3"/>
      <c r="Z54" s="7">
        <f t="shared" ref="Z54:Z72" si="15">IF(T54=0,0,X54/T54)</f>
        <v>1.101677716141253</v>
      </c>
    </row>
    <row r="55" spans="1:26" s="69" customFormat="1" ht="15" hidden="1" customHeight="1" outlineLevel="2" x14ac:dyDescent="0.3">
      <c r="A55" s="26"/>
      <c r="B55" s="12" t="str">
        <f>CONCATENATE("          ","6375"," - ","OUTSIDE REPAIRS &amp; MAINTENANCE")</f>
        <v xml:space="preserve">          6375 - OUTSIDE REPAIRS &amp; MAINTENANCE</v>
      </c>
      <c r="C55" s="12"/>
      <c r="D55" s="8"/>
      <c r="E55" s="3"/>
      <c r="F55" s="7">
        <f t="shared" si="8"/>
        <v>0</v>
      </c>
      <c r="G55" s="3"/>
      <c r="H55" s="8">
        <v>108</v>
      </c>
      <c r="I55" s="3"/>
      <c r="J55" s="7">
        <f t="shared" si="9"/>
        <v>0</v>
      </c>
      <c r="K55" s="3"/>
      <c r="L55" s="8">
        <f t="shared" si="10"/>
        <v>-108</v>
      </c>
      <c r="M55" s="3"/>
      <c r="N55" s="7">
        <f t="shared" si="11"/>
        <v>-1</v>
      </c>
      <c r="O55" s="12"/>
      <c r="P55" s="8">
        <v>2161.25</v>
      </c>
      <c r="Q55" s="3"/>
      <c r="R55" s="7">
        <f t="shared" si="12"/>
        <v>1.7070382024289427E-2</v>
      </c>
      <c r="S55" s="3"/>
      <c r="T55" s="8">
        <v>108</v>
      </c>
      <c r="U55" s="3"/>
      <c r="V55" s="7">
        <f t="shared" si="13"/>
        <v>0</v>
      </c>
      <c r="W55" s="3"/>
      <c r="X55" s="8">
        <f t="shared" si="14"/>
        <v>2053.25</v>
      </c>
      <c r="Y55" s="3"/>
      <c r="Z55" s="7">
        <f t="shared" si="15"/>
        <v>19.011574074074073</v>
      </c>
    </row>
    <row r="56" spans="1:26" s="68" customFormat="1" ht="15" customHeight="1" outlineLevel="1" collapsed="1" x14ac:dyDescent="0.3">
      <c r="A56" s="25"/>
      <c r="B56" s="14" t="str">
        <f>CONCATENATE("     ","Services                                          ")</f>
        <v xml:space="preserve">     Services                                          </v>
      </c>
      <c r="C56" s="14"/>
      <c r="D56" s="2">
        <f>SUM(OSRRefD22_11x_0)</f>
        <v>225.48000000000002</v>
      </c>
      <c r="E56" s="2"/>
      <c r="F56" s="6">
        <f t="shared" si="8"/>
        <v>4.8947226519202693E-3</v>
      </c>
      <c r="G56" s="2"/>
      <c r="H56" s="2">
        <f>SUM(OSRRefH22_11x_0)</f>
        <v>289</v>
      </c>
      <c r="I56" s="2"/>
      <c r="J56" s="6">
        <f t="shared" si="9"/>
        <v>0</v>
      </c>
      <c r="K56" s="2"/>
      <c r="L56" s="2">
        <f t="shared" si="10"/>
        <v>-63.519999999999982</v>
      </c>
      <c r="M56" s="2"/>
      <c r="N56" s="6">
        <f t="shared" si="11"/>
        <v>-0.21979238754325253</v>
      </c>
      <c r="O56" s="14"/>
      <c r="P56" s="2">
        <f>SUM(OSRRefP22_11x_0)</f>
        <v>9005.36</v>
      </c>
      <c r="Q56" s="2"/>
      <c r="R56" s="6">
        <f t="shared" si="12"/>
        <v>7.1127789689418186E-2</v>
      </c>
      <c r="S56" s="2"/>
      <c r="T56" s="2">
        <f>SUM(OSRRefT22_11x_0)</f>
        <v>1785.4</v>
      </c>
      <c r="U56" s="2"/>
      <c r="V56" s="6">
        <f t="shared" si="13"/>
        <v>0</v>
      </c>
      <c r="W56" s="2"/>
      <c r="X56" s="2">
        <f t="shared" si="14"/>
        <v>7219.9600000000009</v>
      </c>
      <c r="Y56" s="2"/>
      <c r="Z56" s="6">
        <f t="shared" si="15"/>
        <v>4.0438893245211158</v>
      </c>
    </row>
    <row r="57" spans="1:26" s="69" customFormat="1" ht="15" hidden="1" customHeight="1" outlineLevel="2" x14ac:dyDescent="0.3">
      <c r="A57" s="26"/>
      <c r="B57" s="12" t="str">
        <f>CONCATENATE("          ","6282"," - ","JANITORIAL/EXTERMINATOR EXPENS")</f>
        <v xml:space="preserve">          6282 - JANITORIAL/EXTERMINATOR EXPENS</v>
      </c>
      <c r="C57" s="12"/>
      <c r="D57" s="8">
        <v>168.4</v>
      </c>
      <c r="E57" s="3"/>
      <c r="F57" s="7">
        <f t="shared" si="8"/>
        <v>3.6556293000859202E-3</v>
      </c>
      <c r="G57" s="3"/>
      <c r="H57" s="8"/>
      <c r="I57" s="3"/>
      <c r="J57" s="7">
        <f t="shared" si="9"/>
        <v>0</v>
      </c>
      <c r="K57" s="3"/>
      <c r="L57" s="8">
        <f t="shared" si="10"/>
        <v>168.4</v>
      </c>
      <c r="M57" s="3"/>
      <c r="N57" s="7">
        <f t="shared" si="11"/>
        <v>0</v>
      </c>
      <c r="O57" s="12"/>
      <c r="P57" s="8">
        <v>1178.8</v>
      </c>
      <c r="Q57" s="3"/>
      <c r="R57" s="7">
        <f t="shared" si="12"/>
        <v>9.3106148433695201E-3</v>
      </c>
      <c r="S57" s="3"/>
      <c r="T57" s="8">
        <v>629.4</v>
      </c>
      <c r="U57" s="3"/>
      <c r="V57" s="7">
        <f t="shared" si="13"/>
        <v>0</v>
      </c>
      <c r="W57" s="3"/>
      <c r="X57" s="8">
        <f t="shared" si="14"/>
        <v>549.4</v>
      </c>
      <c r="Y57" s="3"/>
      <c r="Z57" s="7">
        <f t="shared" si="15"/>
        <v>0.87289482046393385</v>
      </c>
    </row>
    <row r="58" spans="1:26" s="69" customFormat="1" ht="15" hidden="1" customHeight="1" outlineLevel="2" x14ac:dyDescent="0.3">
      <c r="A58" s="26"/>
      <c r="B58" s="12" t="str">
        <f>CONCATENATE("          ","6284"," - ","TRASH REMOVAL EXPENSE")</f>
        <v xml:space="preserve">          6284 - TRASH REMOVAL EXPENSE</v>
      </c>
      <c r="C58" s="12"/>
      <c r="D58" s="8"/>
      <c r="E58" s="3"/>
      <c r="F58" s="7">
        <f t="shared" si="8"/>
        <v>0</v>
      </c>
      <c r="G58" s="3"/>
      <c r="H58" s="8">
        <v>289</v>
      </c>
      <c r="I58" s="3"/>
      <c r="J58" s="7">
        <f t="shared" si="9"/>
        <v>0</v>
      </c>
      <c r="K58" s="3"/>
      <c r="L58" s="8">
        <f t="shared" si="10"/>
        <v>-289</v>
      </c>
      <c r="M58" s="3"/>
      <c r="N58" s="7">
        <f t="shared" si="11"/>
        <v>-1</v>
      </c>
      <c r="O58" s="12"/>
      <c r="P58" s="8"/>
      <c r="Q58" s="3"/>
      <c r="R58" s="7">
        <f t="shared" si="12"/>
        <v>0</v>
      </c>
      <c r="S58" s="3"/>
      <c r="T58" s="8">
        <v>1156</v>
      </c>
      <c r="U58" s="3"/>
      <c r="V58" s="7">
        <f t="shared" si="13"/>
        <v>0</v>
      </c>
      <c r="W58" s="3"/>
      <c r="X58" s="8">
        <f t="shared" si="14"/>
        <v>-1156</v>
      </c>
      <c r="Y58" s="3"/>
      <c r="Z58" s="7">
        <f t="shared" si="15"/>
        <v>-1</v>
      </c>
    </row>
    <row r="59" spans="1:26" s="69" customFormat="1" ht="15" hidden="1" customHeight="1" outlineLevel="2" x14ac:dyDescent="0.3">
      <c r="A59" s="26"/>
      <c r="B59" s="12" t="str">
        <f>CONCATENATE("          ","6285"," - ","JANITORIAL SERVICES")</f>
        <v xml:space="preserve">          6285 - JANITORIAL SERVICES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7229.52</v>
      </c>
      <c r="Q59" s="3"/>
      <c r="R59" s="7">
        <f t="shared" si="12"/>
        <v>5.7101523772002734E-2</v>
      </c>
      <c r="S59" s="3"/>
      <c r="T59" s="8"/>
      <c r="U59" s="3"/>
      <c r="V59" s="7">
        <f t="shared" si="13"/>
        <v>0</v>
      </c>
      <c r="W59" s="3"/>
      <c r="X59" s="8">
        <f t="shared" si="14"/>
        <v>7229.52</v>
      </c>
      <c r="Y59" s="3"/>
      <c r="Z59" s="7">
        <f t="shared" si="15"/>
        <v>0</v>
      </c>
    </row>
    <row r="60" spans="1:26" s="69" customFormat="1" ht="15" hidden="1" customHeight="1" outlineLevel="2" x14ac:dyDescent="0.3">
      <c r="A60" s="26"/>
      <c r="B60" s="12" t="str">
        <f>CONCATENATE("          ","6286"," - ","LAUNDRY EXPENSE")</f>
        <v xml:space="preserve">          6286 - LAUNDRY EXPENSE</v>
      </c>
      <c r="C60" s="12"/>
      <c r="D60" s="8">
        <v>57.08</v>
      </c>
      <c r="E60" s="3"/>
      <c r="F60" s="7">
        <f t="shared" si="8"/>
        <v>1.2390933518343487E-3</v>
      </c>
      <c r="G60" s="3"/>
      <c r="H60" s="8"/>
      <c r="I60" s="3"/>
      <c r="J60" s="7">
        <f t="shared" si="9"/>
        <v>0</v>
      </c>
      <c r="K60" s="3"/>
      <c r="L60" s="8">
        <f t="shared" si="10"/>
        <v>57.08</v>
      </c>
      <c r="M60" s="3"/>
      <c r="N60" s="7">
        <f t="shared" si="11"/>
        <v>0</v>
      </c>
      <c r="O60" s="12"/>
      <c r="P60" s="8">
        <v>597.04</v>
      </c>
      <c r="Q60" s="3"/>
      <c r="R60" s="7">
        <f t="shared" si="12"/>
        <v>4.7156510740459269E-3</v>
      </c>
      <c r="S60" s="3"/>
      <c r="T60" s="8"/>
      <c r="U60" s="3"/>
      <c r="V60" s="7">
        <f t="shared" si="13"/>
        <v>0</v>
      </c>
      <c r="W60" s="3"/>
      <c r="X60" s="8">
        <f t="shared" si="14"/>
        <v>597.04</v>
      </c>
      <c r="Y60" s="3"/>
      <c r="Z60" s="7">
        <f t="shared" si="15"/>
        <v>0</v>
      </c>
    </row>
    <row r="61" spans="1:26" s="68" customFormat="1" ht="15" customHeight="1" outlineLevel="1" collapsed="1" x14ac:dyDescent="0.3">
      <c r="A61" s="25"/>
      <c r="B61" s="14" t="str">
        <f>CONCATENATE("     ","Supplies                                          ")</f>
        <v xml:space="preserve">     Supplies                                          </v>
      </c>
      <c r="C61" s="14"/>
      <c r="D61" s="2">
        <f>SUM(OSRRefD22_12x_0)</f>
        <v>292.68</v>
      </c>
      <c r="E61" s="2"/>
      <c r="F61" s="6">
        <f t="shared" si="8"/>
        <v>6.3535010899593057E-3</v>
      </c>
      <c r="G61" s="2"/>
      <c r="H61" s="2">
        <f>SUM(OSRRefH22_12x_0)</f>
        <v>0</v>
      </c>
      <c r="I61" s="2"/>
      <c r="J61" s="6">
        <f t="shared" si="9"/>
        <v>0</v>
      </c>
      <c r="K61" s="2"/>
      <c r="L61" s="2">
        <f t="shared" si="10"/>
        <v>292.68</v>
      </c>
      <c r="M61" s="2"/>
      <c r="N61" s="6">
        <f t="shared" si="11"/>
        <v>0</v>
      </c>
      <c r="O61" s="14"/>
      <c r="P61" s="2">
        <f>SUM(OSRRefP22_12x_0)</f>
        <v>2077.3200000000002</v>
      </c>
      <c r="Q61" s="2"/>
      <c r="R61" s="6">
        <f t="shared" si="12"/>
        <v>1.6407470670536457E-2</v>
      </c>
      <c r="S61" s="2"/>
      <c r="T61" s="2">
        <f>SUM(OSRRefT22_12x_0)</f>
        <v>634.24</v>
      </c>
      <c r="U61" s="2"/>
      <c r="V61" s="6">
        <f t="shared" si="13"/>
        <v>0</v>
      </c>
      <c r="W61" s="2"/>
      <c r="X61" s="2">
        <f t="shared" si="14"/>
        <v>1443.0800000000002</v>
      </c>
      <c r="Y61" s="2"/>
      <c r="Z61" s="6">
        <f t="shared" si="15"/>
        <v>2.2752901109989909</v>
      </c>
    </row>
    <row r="62" spans="1:26" s="69" customFormat="1" ht="15" hidden="1" customHeight="1" outlineLevel="2" x14ac:dyDescent="0.3">
      <c r="A62" s="26"/>
      <c r="B62" s="12" t="str">
        <f>CONCATENATE("          ","6234"," - ","EXPENDABLE SUPPLIES &amp; EQUIPMEN")</f>
        <v xml:space="preserve">          6234 - EXPENDABLE SUPPLIES &amp; EQUIPMEN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/>
      <c r="Q62" s="3"/>
      <c r="R62" s="7">
        <f t="shared" si="12"/>
        <v>0</v>
      </c>
      <c r="S62" s="3"/>
      <c r="T62" s="8">
        <v>316.67</v>
      </c>
      <c r="U62" s="3"/>
      <c r="V62" s="7">
        <f t="shared" si="13"/>
        <v>0</v>
      </c>
      <c r="W62" s="3"/>
      <c r="X62" s="8">
        <f t="shared" si="14"/>
        <v>-316.67</v>
      </c>
      <c r="Y62" s="3"/>
      <c r="Z62" s="7">
        <f t="shared" si="15"/>
        <v>-1</v>
      </c>
    </row>
    <row r="63" spans="1:26" s="69" customFormat="1" ht="15" hidden="1" customHeight="1" outlineLevel="2" x14ac:dyDescent="0.3">
      <c r="A63" s="26"/>
      <c r="B63" s="12" t="str">
        <f>CONCATENATE("          ","6237"," - ","JANITORIAL SUPPLIES")</f>
        <v xml:space="preserve">          6237 - JANITORIAL SUPPLIES</v>
      </c>
      <c r="C63" s="12"/>
      <c r="D63" s="8">
        <v>31.68</v>
      </c>
      <c r="E63" s="3"/>
      <c r="F63" s="7">
        <f t="shared" si="8"/>
        <v>6.8770983507554604E-4</v>
      </c>
      <c r="G63" s="3"/>
      <c r="H63" s="8"/>
      <c r="I63" s="3"/>
      <c r="J63" s="7">
        <f t="shared" si="9"/>
        <v>0</v>
      </c>
      <c r="K63" s="3"/>
      <c r="L63" s="8">
        <f t="shared" si="10"/>
        <v>31.68</v>
      </c>
      <c r="M63" s="3"/>
      <c r="N63" s="7">
        <f t="shared" si="11"/>
        <v>0</v>
      </c>
      <c r="O63" s="12"/>
      <c r="P63" s="8">
        <v>648.57000000000005</v>
      </c>
      <c r="Q63" s="3"/>
      <c r="R63" s="7">
        <f t="shared" si="12"/>
        <v>5.1226547921311254E-3</v>
      </c>
      <c r="S63" s="3"/>
      <c r="T63" s="8">
        <v>317.57</v>
      </c>
      <c r="U63" s="3"/>
      <c r="V63" s="7">
        <f t="shared" si="13"/>
        <v>0</v>
      </c>
      <c r="W63" s="3"/>
      <c r="X63" s="8">
        <f t="shared" si="14"/>
        <v>331.00000000000006</v>
      </c>
      <c r="Y63" s="3"/>
      <c r="Z63" s="7">
        <f t="shared" si="15"/>
        <v>1.0422898888434049</v>
      </c>
    </row>
    <row r="64" spans="1:26" s="69" customFormat="1" ht="15" hidden="1" customHeight="1" outlineLevel="2" x14ac:dyDescent="0.3">
      <c r="A64" s="26"/>
      <c r="B64" s="12" t="str">
        <f>CONCATENATE("          ","6241"," - ","OFFICE EXPENSE")</f>
        <v xml:space="preserve">          6241 - OFFICE EXPENSE</v>
      </c>
      <c r="C64" s="12"/>
      <c r="D64" s="8">
        <v>86.1</v>
      </c>
      <c r="E64" s="3"/>
      <c r="F64" s="7">
        <f t="shared" si="8"/>
        <v>1.8690598737375161E-3</v>
      </c>
      <c r="G64" s="3"/>
      <c r="H64" s="8"/>
      <c r="I64" s="3"/>
      <c r="J64" s="7">
        <f t="shared" si="9"/>
        <v>0</v>
      </c>
      <c r="K64" s="3"/>
      <c r="L64" s="8">
        <f t="shared" si="10"/>
        <v>86.1</v>
      </c>
      <c r="M64" s="3"/>
      <c r="N64" s="7">
        <f t="shared" si="11"/>
        <v>0</v>
      </c>
      <c r="O64" s="12"/>
      <c r="P64" s="8">
        <v>427.98</v>
      </c>
      <c r="Q64" s="3"/>
      <c r="R64" s="7">
        <f t="shared" si="12"/>
        <v>3.3803503059596941E-3</v>
      </c>
      <c r="S64" s="3"/>
      <c r="T64" s="8"/>
      <c r="U64" s="3"/>
      <c r="V64" s="7">
        <f t="shared" si="13"/>
        <v>0</v>
      </c>
      <c r="W64" s="3"/>
      <c r="X64" s="8">
        <f t="shared" si="14"/>
        <v>427.98</v>
      </c>
      <c r="Y64" s="3"/>
      <c r="Z64" s="7">
        <f t="shared" si="15"/>
        <v>0</v>
      </c>
    </row>
    <row r="65" spans="1:26" s="69" customFormat="1" ht="15" hidden="1" customHeight="1" outlineLevel="2" x14ac:dyDescent="0.3">
      <c r="A65" s="26"/>
      <c r="B65" s="12" t="str">
        <f>CONCATENATE("          ","6243"," - ","PAPER SUPPLIES")</f>
        <v xml:space="preserve">          6243 - PAPER SUPPLIES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44.38</v>
      </c>
      <c r="Q65" s="3"/>
      <c r="R65" s="7">
        <f t="shared" si="12"/>
        <v>3.5053027379431572E-4</v>
      </c>
      <c r="S65" s="3"/>
      <c r="T65" s="8"/>
      <c r="U65" s="3"/>
      <c r="V65" s="7">
        <f t="shared" si="13"/>
        <v>0</v>
      </c>
      <c r="W65" s="3"/>
      <c r="X65" s="8">
        <f t="shared" si="14"/>
        <v>44.38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8">
        <v>174.9</v>
      </c>
      <c r="E66" s="3"/>
      <c r="F66" s="7">
        <f t="shared" si="8"/>
        <v>3.7967313811462437E-3</v>
      </c>
      <c r="G66" s="3"/>
      <c r="H66" s="8"/>
      <c r="I66" s="3"/>
      <c r="J66" s="7">
        <f t="shared" si="9"/>
        <v>0</v>
      </c>
      <c r="K66" s="3"/>
      <c r="L66" s="8">
        <f t="shared" si="10"/>
        <v>174.9</v>
      </c>
      <c r="M66" s="3"/>
      <c r="N66" s="7">
        <f t="shared" si="11"/>
        <v>0</v>
      </c>
      <c r="O66" s="12"/>
      <c r="P66" s="8">
        <v>956.39</v>
      </c>
      <c r="Q66" s="3"/>
      <c r="R66" s="7">
        <f t="shared" si="12"/>
        <v>7.5539352986513193E-3</v>
      </c>
      <c r="S66" s="3"/>
      <c r="T66" s="8"/>
      <c r="U66" s="3"/>
      <c r="V66" s="7">
        <f t="shared" si="13"/>
        <v>0</v>
      </c>
      <c r="W66" s="3"/>
      <c r="X66" s="8">
        <f t="shared" si="14"/>
        <v>956.39</v>
      </c>
      <c r="Y66" s="3"/>
      <c r="Z66" s="7">
        <f t="shared" si="15"/>
        <v>0</v>
      </c>
    </row>
    <row r="67" spans="1:26" s="68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SUM(OSRRefD22_13x_0)</f>
        <v>97</v>
      </c>
      <c r="E67" s="2"/>
      <c r="F67" s="6">
        <f t="shared" si="8"/>
        <v>2.1056772096694435E-3</v>
      </c>
      <c r="G67" s="2"/>
      <c r="H67" s="2">
        <f>SUM(OSRRefH22_13x_0)</f>
        <v>-128</v>
      </c>
      <c r="I67" s="2"/>
      <c r="J67" s="6">
        <f t="shared" si="9"/>
        <v>0</v>
      </c>
      <c r="K67" s="2"/>
      <c r="L67" s="2">
        <f t="shared" si="10"/>
        <v>225</v>
      </c>
      <c r="M67" s="2"/>
      <c r="N67" s="6">
        <f t="shared" si="11"/>
        <v>-1.7578125</v>
      </c>
      <c r="O67" s="14"/>
      <c r="P67" s="2">
        <f>SUM(OSRRefP22_13x_0)</f>
        <v>411</v>
      </c>
      <c r="Q67" s="2"/>
      <c r="R67" s="6">
        <f t="shared" si="12"/>
        <v>3.2462357487486196E-3</v>
      </c>
      <c r="S67" s="2"/>
      <c r="T67" s="2">
        <f>SUM(OSRRefT22_13x_0)</f>
        <v>931.87</v>
      </c>
      <c r="U67" s="2"/>
      <c r="V67" s="6">
        <f t="shared" si="13"/>
        <v>0</v>
      </c>
      <c r="W67" s="2"/>
      <c r="X67" s="2">
        <f t="shared" si="14"/>
        <v>-520.87</v>
      </c>
      <c r="Y67" s="2"/>
      <c r="Z67" s="6">
        <f t="shared" si="15"/>
        <v>-0.55895135587581957</v>
      </c>
    </row>
    <row r="68" spans="1:26" s="69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8">
        <v>97</v>
      </c>
      <c r="E68" s="3"/>
      <c r="F68" s="7">
        <f t="shared" si="8"/>
        <v>2.1056772096694435E-3</v>
      </c>
      <c r="G68" s="3"/>
      <c r="H68" s="8">
        <v>-128</v>
      </c>
      <c r="I68" s="3"/>
      <c r="J68" s="7">
        <f t="shared" si="9"/>
        <v>0</v>
      </c>
      <c r="K68" s="3"/>
      <c r="L68" s="8">
        <f t="shared" si="10"/>
        <v>225</v>
      </c>
      <c r="M68" s="3"/>
      <c r="N68" s="7">
        <f t="shared" si="11"/>
        <v>-1.7578125</v>
      </c>
      <c r="O68" s="12"/>
      <c r="P68" s="8">
        <v>411</v>
      </c>
      <c r="Q68" s="3"/>
      <c r="R68" s="7">
        <f t="shared" si="12"/>
        <v>3.2462357487486196E-3</v>
      </c>
      <c r="S68" s="3"/>
      <c r="T68" s="8">
        <v>931.87</v>
      </c>
      <c r="U68" s="3"/>
      <c r="V68" s="7">
        <f t="shared" si="13"/>
        <v>0</v>
      </c>
      <c r="W68" s="3"/>
      <c r="X68" s="8">
        <f t="shared" si="14"/>
        <v>-520.87</v>
      </c>
      <c r="Y68" s="3"/>
      <c r="Z68" s="7">
        <f t="shared" si="15"/>
        <v>-0.55895135587581957</v>
      </c>
    </row>
    <row r="69" spans="1:26" s="68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SUM(OSRRefD22_14x_0)</f>
        <v>120</v>
      </c>
      <c r="E69" s="2"/>
      <c r="F69" s="6">
        <f t="shared" si="8"/>
        <v>2.6049614964982802E-3</v>
      </c>
      <c r="G69" s="2"/>
      <c r="H69" s="2">
        <f>SUM(OSRRefH22_14x_0)</f>
        <v>0</v>
      </c>
      <c r="I69" s="2"/>
      <c r="J69" s="6">
        <f t="shared" si="9"/>
        <v>0</v>
      </c>
      <c r="K69" s="2"/>
      <c r="L69" s="2">
        <f t="shared" si="10"/>
        <v>120</v>
      </c>
      <c r="M69" s="2"/>
      <c r="N69" s="6">
        <f t="shared" si="11"/>
        <v>0</v>
      </c>
      <c r="O69" s="14"/>
      <c r="P69" s="2">
        <f>SUM(OSRRefP22_14x_0)</f>
        <v>120</v>
      </c>
      <c r="Q69" s="2"/>
      <c r="R69" s="6">
        <f t="shared" si="12"/>
        <v>9.4780605802879405E-4</v>
      </c>
      <c r="S69" s="2"/>
      <c r="T69" s="2">
        <f>SUM(OSRRefT22_14x_0)</f>
        <v>0</v>
      </c>
      <c r="U69" s="2"/>
      <c r="V69" s="6">
        <f t="shared" si="13"/>
        <v>0</v>
      </c>
      <c r="W69" s="2"/>
      <c r="X69" s="2">
        <f t="shared" si="14"/>
        <v>120</v>
      </c>
      <c r="Y69" s="2"/>
      <c r="Z69" s="6">
        <f t="shared" si="15"/>
        <v>0</v>
      </c>
    </row>
    <row r="70" spans="1:26" s="69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8">
        <v>120</v>
      </c>
      <c r="E70" s="3"/>
      <c r="F70" s="7">
        <f t="shared" si="8"/>
        <v>2.6049614964982802E-3</v>
      </c>
      <c r="G70" s="3"/>
      <c r="H70" s="8"/>
      <c r="I70" s="3"/>
      <c r="J70" s="7">
        <f t="shared" si="9"/>
        <v>0</v>
      </c>
      <c r="K70" s="3"/>
      <c r="L70" s="8">
        <f t="shared" si="10"/>
        <v>120</v>
      </c>
      <c r="M70" s="3"/>
      <c r="N70" s="7">
        <f t="shared" si="11"/>
        <v>0</v>
      </c>
      <c r="O70" s="12"/>
      <c r="P70" s="8">
        <v>120</v>
      </c>
      <c r="Q70" s="3"/>
      <c r="R70" s="7">
        <f t="shared" si="12"/>
        <v>9.4780605802879405E-4</v>
      </c>
      <c r="S70" s="3"/>
      <c r="T70" s="8"/>
      <c r="U70" s="3"/>
      <c r="V70" s="7">
        <f t="shared" si="13"/>
        <v>0</v>
      </c>
      <c r="W70" s="3"/>
      <c r="X70" s="8">
        <f t="shared" si="14"/>
        <v>120</v>
      </c>
      <c r="Y70" s="3"/>
      <c r="Z70" s="7">
        <f t="shared" si="15"/>
        <v>0</v>
      </c>
    </row>
    <row r="71" spans="1:26" s="68" customFormat="1" ht="15" customHeight="1" outlineLevel="1" collapsed="1" x14ac:dyDescent="0.3">
      <c r="A71" s="25"/>
      <c r="B71" s="14" t="str">
        <f>CONCATENATE("     ","Utilities                                         ")</f>
        <v xml:space="preserve">     Utilities                                         </v>
      </c>
      <c r="C71" s="14"/>
      <c r="D71" s="2">
        <f>SUM(OSRRefD22_15x_0)</f>
        <v>100</v>
      </c>
      <c r="E71" s="2"/>
      <c r="F71" s="6">
        <f t="shared" si="8"/>
        <v>2.1708012470819005E-3</v>
      </c>
      <c r="G71" s="2"/>
      <c r="H71" s="2">
        <f>SUM(OSRRefH22_15x_0)</f>
        <v>878</v>
      </c>
      <c r="I71" s="2"/>
      <c r="J71" s="6">
        <f t="shared" si="9"/>
        <v>0</v>
      </c>
      <c r="K71" s="2"/>
      <c r="L71" s="2">
        <f t="shared" si="10"/>
        <v>-778</v>
      </c>
      <c r="M71" s="2"/>
      <c r="N71" s="6">
        <f t="shared" si="11"/>
        <v>-0.88610478359908884</v>
      </c>
      <c r="O71" s="14"/>
      <c r="P71" s="2">
        <f>SUM(OSRRefP22_15x_0)</f>
        <v>800</v>
      </c>
      <c r="Q71" s="2"/>
      <c r="R71" s="6">
        <f t="shared" si="12"/>
        <v>6.3187070535252942E-3</v>
      </c>
      <c r="S71" s="2"/>
      <c r="T71" s="2">
        <f>SUM(OSRRefT22_15x_0)</f>
        <v>4390</v>
      </c>
      <c r="U71" s="2"/>
      <c r="V71" s="6">
        <f t="shared" si="13"/>
        <v>0</v>
      </c>
      <c r="W71" s="2"/>
      <c r="X71" s="2">
        <f t="shared" si="14"/>
        <v>-3590</v>
      </c>
      <c r="Y71" s="2"/>
      <c r="Z71" s="6">
        <f t="shared" si="15"/>
        <v>-0.8177676537585421</v>
      </c>
    </row>
    <row r="72" spans="1:26" s="69" customFormat="1" ht="15" hidden="1" customHeight="1" outlineLevel="2" x14ac:dyDescent="0.3">
      <c r="A72" s="26"/>
      <c r="B72" s="12" t="str">
        <f>CONCATENATE("          ","6274"," - ","UTILITIES")</f>
        <v xml:space="preserve">          6274 - UTILITIES</v>
      </c>
      <c r="C72" s="12"/>
      <c r="D72" s="8">
        <v>100</v>
      </c>
      <c r="E72" s="3"/>
      <c r="F72" s="7">
        <f t="shared" si="8"/>
        <v>2.1708012470819005E-3</v>
      </c>
      <c r="G72" s="3"/>
      <c r="H72" s="8">
        <v>878</v>
      </c>
      <c r="I72" s="3"/>
      <c r="J72" s="7">
        <f t="shared" si="9"/>
        <v>0</v>
      </c>
      <c r="K72" s="3"/>
      <c r="L72" s="8">
        <f t="shared" si="10"/>
        <v>-778</v>
      </c>
      <c r="M72" s="3"/>
      <c r="N72" s="7">
        <f t="shared" si="11"/>
        <v>-0.88610478359908884</v>
      </c>
      <c r="O72" s="12"/>
      <c r="P72" s="8">
        <v>800</v>
      </c>
      <c r="Q72" s="3"/>
      <c r="R72" s="7">
        <f t="shared" si="12"/>
        <v>6.3187070535252942E-3</v>
      </c>
      <c r="S72" s="3"/>
      <c r="T72" s="8">
        <v>4390</v>
      </c>
      <c r="U72" s="3"/>
      <c r="V72" s="7">
        <f t="shared" si="13"/>
        <v>0</v>
      </c>
      <c r="W72" s="3"/>
      <c r="X72" s="8">
        <f t="shared" si="14"/>
        <v>-3590</v>
      </c>
      <c r="Y72" s="3"/>
      <c r="Z72" s="7">
        <f t="shared" si="15"/>
        <v>-0.8177676537585421</v>
      </c>
    </row>
    <row r="73" spans="1:26" s="64" customFormat="1" ht="15" customHeight="1" x14ac:dyDescent="0.3">
      <c r="A73" s="36"/>
      <c r="B73" s="36"/>
      <c r="C73" s="36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2" customFormat="1" ht="15" customHeight="1" x14ac:dyDescent="0.3">
      <c r="A74" s="11"/>
      <c r="B74" s="27" t="s">
        <v>290</v>
      </c>
      <c r="C74" s="11"/>
      <c r="D74" s="5">
        <f>SUM(0)</f>
        <v>0</v>
      </c>
      <c r="E74" s="5"/>
      <c r="F74" s="13">
        <f>IF(D$12=0,0,D74/D$12)</f>
        <v>0</v>
      </c>
      <c r="G74" s="5"/>
      <c r="H74" s="5">
        <f>SUM(0)</f>
        <v>0</v>
      </c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>
        <f>SUM(0)</f>
        <v>0</v>
      </c>
      <c r="Q74" s="5"/>
      <c r="R74" s="13">
        <f>IF(P$12=0,0,P74/P$12)</f>
        <v>0</v>
      </c>
      <c r="S74" s="5"/>
      <c r="T74" s="5">
        <f>SUM(0)</f>
        <v>0</v>
      </c>
      <c r="U74" s="5"/>
      <c r="V74" s="13">
        <f>IF(T$12=0,0,T74/T$12)</f>
        <v>0</v>
      </c>
      <c r="W74" s="5"/>
      <c r="X74" s="5">
        <f>+P74-T74</f>
        <v>0</v>
      </c>
      <c r="Y74" s="5"/>
      <c r="Z74" s="13">
        <f>IF(T74=0,0,X74/T74)</f>
        <v>0</v>
      </c>
    </row>
    <row r="75" spans="1:26" ht="15" customHeight="1" x14ac:dyDescent="0.3">
      <c r="A75" s="10"/>
      <c r="B75" s="11"/>
      <c r="C75" s="11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O75" s="11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291</v>
      </c>
      <c r="C76" s="28"/>
      <c r="D76" s="23">
        <f>+D20-D22+D74</f>
        <v>-8528.8299999999981</v>
      </c>
      <c r="E76" s="15"/>
      <c r="F76" s="22">
        <f>IF(D$12=0,0,D76/D$12)</f>
        <v>-0.1851439480014952</v>
      </c>
      <c r="G76" s="15"/>
      <c r="H76" s="23">
        <f>+H20-H22+H74</f>
        <v>-11082.15</v>
      </c>
      <c r="I76" s="15"/>
      <c r="J76" s="22">
        <f>IF(H$12=0,0,H76/H$12)</f>
        <v>0</v>
      </c>
      <c r="K76" s="17"/>
      <c r="L76" s="23">
        <f>+D76-H76</f>
        <v>2553.3200000000015</v>
      </c>
      <c r="M76" s="17"/>
      <c r="N76" s="22">
        <f>IF(H76=0,0,L76/H76)</f>
        <v>-0.23039933586894254</v>
      </c>
      <c r="O76" s="27"/>
      <c r="P76" s="23">
        <f>+P20-P22+P74</f>
        <v>-90051.580000000031</v>
      </c>
      <c r="Q76" s="15"/>
      <c r="R76" s="22">
        <f>IF(P$12=0,0,P76/P$12)</f>
        <v>-0.71126194215887184</v>
      </c>
      <c r="S76" s="15"/>
      <c r="T76" s="23">
        <f>+T20-T22+T74</f>
        <v>-102156.96</v>
      </c>
      <c r="U76" s="15"/>
      <c r="V76" s="22">
        <f>IF(T$12=0,0,T76/T$12)</f>
        <v>0</v>
      </c>
      <c r="W76" s="17"/>
      <c r="X76" s="23">
        <f>+P76-T76</f>
        <v>12105.379999999976</v>
      </c>
      <c r="Y76" s="17"/>
      <c r="Z76" s="22">
        <f>IF(T76=0,0,X76/T76)</f>
        <v>-0.11849784880051221</v>
      </c>
    </row>
    <row r="77" spans="1:26" ht="15" customHeight="1" x14ac:dyDescent="0.3">
      <c r="A77" s="10"/>
      <c r="B77" s="11"/>
      <c r="C77" s="10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2" customFormat="1" ht="15" customHeight="1" x14ac:dyDescent="0.3">
      <c r="A78" s="48"/>
      <c r="B78" s="11" t="s">
        <v>292</v>
      </c>
      <c r="C78" s="11"/>
      <c r="D78" s="5">
        <v>5142.41</v>
      </c>
      <c r="E78" s="5"/>
      <c r="F78" s="13">
        <f>IF(D$12=0,0,D78/D$12)</f>
        <v>0.11163150041006435</v>
      </c>
      <c r="G78" s="5"/>
      <c r="H78" s="5"/>
      <c r="I78" s="5"/>
      <c r="J78" s="13">
        <f>IF(H$12=0,0,H78/H$12)</f>
        <v>0</v>
      </c>
      <c r="K78" s="5"/>
      <c r="L78" s="5">
        <f>+D78-H78</f>
        <v>5142.41</v>
      </c>
      <c r="M78" s="5"/>
      <c r="N78" s="13">
        <f>IF(H78=0,0,L78/H78)</f>
        <v>0</v>
      </c>
      <c r="O78" s="11"/>
      <c r="P78" s="5">
        <v>15803.58</v>
      </c>
      <c r="Q78" s="5"/>
      <c r="R78" s="13">
        <f>IF(P$12=0,0,P78/P$12)</f>
        <v>0.12482274052118908</v>
      </c>
      <c r="S78" s="5"/>
      <c r="T78" s="5"/>
      <c r="U78" s="5"/>
      <c r="V78" s="13">
        <f>IF(T$12=0,0,T78/T$12)</f>
        <v>0</v>
      </c>
      <c r="W78" s="5"/>
      <c r="X78" s="5">
        <f>+P78-T78</f>
        <v>15803.58</v>
      </c>
      <c r="Y78" s="5"/>
      <c r="Z78" s="13">
        <f>IF(T78=0,0,X78/T78)</f>
        <v>0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2" customFormat="1" ht="15" customHeight="1" x14ac:dyDescent="0.3">
      <c r="A80" s="11"/>
      <c r="B80" s="28" t="s">
        <v>293</v>
      </c>
      <c r="C80" s="28"/>
      <c r="D80" s="33">
        <f>+D76-D78</f>
        <v>-13671.239999999998</v>
      </c>
      <c r="E80" s="15"/>
      <c r="F80" s="34">
        <f>IF(D$12=0,0,D80/D$12)</f>
        <v>-0.29677544841155956</v>
      </c>
      <c r="G80" s="15"/>
      <c r="H80" s="33">
        <f>+H76-H78</f>
        <v>-11082.15</v>
      </c>
      <c r="I80" s="15"/>
      <c r="J80" s="34">
        <f>IF(H$12=0,0,H80/H$12)</f>
        <v>0</v>
      </c>
      <c r="K80" s="17"/>
      <c r="L80" s="33">
        <f>D80-H80</f>
        <v>-2589.0899999999983</v>
      </c>
      <c r="M80" s="17"/>
      <c r="N80" s="34">
        <f>IF(H80=0,0,L80/H80)</f>
        <v>0.23362704890296543</v>
      </c>
      <c r="O80" s="27"/>
      <c r="P80" s="33">
        <f>+P76-P78</f>
        <v>-105855.16000000003</v>
      </c>
      <c r="Q80" s="15"/>
      <c r="R80" s="34">
        <f>IF(P$12=0,0,P80/P$12)</f>
        <v>-0.83608468268006098</v>
      </c>
      <c r="S80" s="15"/>
      <c r="T80" s="33">
        <f>+T76-T78</f>
        <v>-102156.96</v>
      </c>
      <c r="U80" s="15"/>
      <c r="V80" s="34">
        <f>IF(T$12=0,0,T80/T$12)</f>
        <v>0</v>
      </c>
      <c r="W80" s="17"/>
      <c r="X80" s="33">
        <f>P80-T80</f>
        <v>-3698.2000000000262</v>
      </c>
      <c r="Y80" s="17"/>
      <c r="Z80" s="34">
        <f>IF(T80=0,0,X80/T80)</f>
        <v>3.6201155555138149E-2</v>
      </c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296</v>
      </c>
      <c r="C83" s="28"/>
      <c r="D83" s="35">
        <f>SUM(D80:D82)</f>
        <v>-13671.239999999998</v>
      </c>
      <c r="E83" s="15"/>
      <c r="F83" s="29">
        <f>IF(D$12=0,0,D83/D$12)</f>
        <v>-0.29677544841155956</v>
      </c>
      <c r="G83" s="15"/>
      <c r="H83" s="35">
        <f>SUM(H80:H82)</f>
        <v>-11082.15</v>
      </c>
      <c r="I83" s="15"/>
      <c r="J83" s="29">
        <f>IF(H$12=0,0,H83/H$12)</f>
        <v>0</v>
      </c>
      <c r="K83" s="17"/>
      <c r="L83" s="35">
        <f>+D83-H83</f>
        <v>-2589.0899999999983</v>
      </c>
      <c r="M83" s="17"/>
      <c r="N83" s="29">
        <f>IF(H83=0,0,L83/H83)</f>
        <v>0.23362704890296543</v>
      </c>
      <c r="O83" s="27"/>
      <c r="P83" s="35">
        <f>SUM(P80:P82)</f>
        <v>-105855.16000000003</v>
      </c>
      <c r="Q83" s="15"/>
      <c r="R83" s="29">
        <f>IF(P$12=0,0,P83/P$12)</f>
        <v>-0.83608468268006098</v>
      </c>
      <c r="S83" s="15"/>
      <c r="T83" s="35">
        <f>SUM(T80:T82)</f>
        <v>-102156.96</v>
      </c>
      <c r="U83" s="15"/>
      <c r="V83" s="29">
        <f>IF(T$12=0,0,T83/T$12)</f>
        <v>0</v>
      </c>
      <c r="W83" s="17"/>
      <c r="X83" s="35">
        <f>+P83-T83</f>
        <v>-3698.2000000000262</v>
      </c>
      <c r="Y83" s="17"/>
      <c r="Z83" s="29">
        <f>IF(T83=0,0,X83/T83)</f>
        <v>3.6201155555138149E-2</v>
      </c>
    </row>
    <row r="84" spans="1:26" ht="15" customHeight="1" x14ac:dyDescent="0.3">
      <c r="A84" s="10"/>
      <c r="C84" s="10"/>
      <c r="D84" s="18"/>
      <c r="E84" s="18"/>
      <c r="G84" s="18"/>
      <c r="H84" s="18"/>
      <c r="I84" s="18"/>
      <c r="J84" s="41"/>
      <c r="K84" s="18"/>
      <c r="L84" s="18"/>
      <c r="M84" s="18"/>
      <c r="P84" s="18"/>
      <c r="Q84" s="18"/>
      <c r="R84" s="41"/>
      <c r="S84" s="18"/>
      <c r="T84" s="18"/>
      <c r="U84" s="18"/>
      <c r="V84" s="41"/>
      <c r="W84" s="18"/>
      <c r="X84" s="18"/>
    </row>
    <row r="85" spans="1:26" ht="15" customHeight="1" x14ac:dyDescent="0.3">
      <c r="A85" s="10"/>
      <c r="B85" s="50">
        <v>44634.887810300927</v>
      </c>
      <c r="D85" s="18"/>
      <c r="E85" s="18"/>
      <c r="G85" s="18"/>
      <c r="H85" s="18"/>
      <c r="I85" s="18"/>
      <c r="J85" s="41"/>
      <c r="K85" s="18"/>
      <c r="L85" s="18"/>
      <c r="M85" s="18"/>
      <c r="P85" s="18"/>
      <c r="Q85" s="18"/>
      <c r="R85" s="41"/>
      <c r="S85" s="18"/>
      <c r="T85" s="18"/>
      <c r="U85" s="18"/>
      <c r="V85" s="41"/>
      <c r="W85" s="18"/>
      <c r="X85" s="18"/>
    </row>
    <row r="86" spans="1:26" ht="15" customHeight="1" x14ac:dyDescent="0.3">
      <c r="A86" s="10"/>
      <c r="B86" s="58" t="s">
        <v>297</v>
      </c>
      <c r="D86" s="18"/>
      <c r="E86" s="18"/>
      <c r="G86" s="18"/>
      <c r="H86" s="18"/>
      <c r="I86" s="18"/>
      <c r="J86" s="41"/>
      <c r="K86" s="18"/>
      <c r="L86" s="18"/>
      <c r="M86" s="18"/>
      <c r="P86" s="18"/>
      <c r="Q86" s="18"/>
      <c r="R86" s="41"/>
      <c r="S86" s="18"/>
      <c r="T86" s="18"/>
      <c r="U86" s="18"/>
      <c r="V86" s="41"/>
      <c r="W86" s="18"/>
      <c r="X86" s="18"/>
    </row>
    <row r="87" spans="1:26" ht="15" customHeight="1" x14ac:dyDescent="0.3">
      <c r="A87" s="10"/>
      <c r="B87" s="56"/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3"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91B21-503D-A3E3-4A58-241EDCDC1554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","327"," - ","C-Store Vending Machine(s)")</f>
        <v>Department 327 - C-Store Vending Machine(s)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134</v>
      </c>
      <c r="I12" s="5"/>
      <c r="J12" s="13"/>
      <c r="K12" s="5"/>
      <c r="L12" s="5">
        <f>+D12-H12</f>
        <v>-134</v>
      </c>
      <c r="M12" s="5"/>
      <c r="N12" s="13">
        <f>IF(H12=0,0,L12/H12)</f>
        <v>-1</v>
      </c>
      <c r="O12" s="11"/>
      <c r="P12" s="5">
        <f>SUM(OSRRefP13x_0)</f>
        <v>698.72</v>
      </c>
      <c r="Q12" s="5"/>
      <c r="R12" s="13"/>
      <c r="S12" s="5"/>
      <c r="T12" s="5">
        <f>SUM(OSRRefT13x_0)</f>
        <v>244</v>
      </c>
      <c r="U12" s="5"/>
      <c r="V12" s="13"/>
      <c r="W12" s="5"/>
      <c r="X12" s="5">
        <f>+P12-T12</f>
        <v>454.72</v>
      </c>
      <c r="Y12" s="5"/>
      <c r="Z12" s="13">
        <f>IF(T12=0,0,X12/T12)</f>
        <v>1.8636065573770493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--698.72</f>
        <v>698.72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698.72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","4153"," - ","NON-TAXABLE SALES-FOOD")</f>
        <v xml:space="preserve">          4153 - NON-TAXABLE SALES-FOOD</v>
      </c>
      <c r="C14" s="12"/>
      <c r="D14" s="3">
        <f>0</f>
        <v>0</v>
      </c>
      <c r="E14" s="3"/>
      <c r="F14" s="20"/>
      <c r="G14" s="3"/>
      <c r="H14" s="3">
        <f>--134</f>
        <v>134</v>
      </c>
      <c r="I14" s="3"/>
      <c r="J14" s="20"/>
      <c r="K14" s="3"/>
      <c r="L14" s="3">
        <f>+D14-H14</f>
        <v>-134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--244</f>
        <v>244</v>
      </c>
      <c r="U14" s="3"/>
      <c r="V14" s="20"/>
      <c r="W14" s="3"/>
      <c r="X14" s="3">
        <f>+P14-T14</f>
        <v>-244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-430</v>
      </c>
      <c r="I16" s="5"/>
      <c r="J16" s="13">
        <f>IF(H$12=0,0,H16/H$12)</f>
        <v>-3.2089552238805972</v>
      </c>
      <c r="K16" s="5"/>
      <c r="L16" s="5">
        <f>+D16-H16</f>
        <v>430</v>
      </c>
      <c r="M16" s="5"/>
      <c r="N16" s="13">
        <f>IF(H16=0,0,L16/H16)</f>
        <v>-1</v>
      </c>
      <c r="O16" s="11"/>
      <c r="P16" s="5">
        <f>SUM(OSRRefP16x_0)</f>
        <v>-8.7999999999999972</v>
      </c>
      <c r="Q16" s="5"/>
      <c r="R16" s="13">
        <f>IF(P$12=0,0,P16/P$12)</f>
        <v>-1.2594458438287149E-2</v>
      </c>
      <c r="S16" s="5"/>
      <c r="T16" s="5">
        <f>SUM(OSRRefT16x_0)</f>
        <v>-361.09</v>
      </c>
      <c r="U16" s="5"/>
      <c r="V16" s="13">
        <f>IF(T$12=0,0,T16/T$12)</f>
        <v>-1.4798770491803277</v>
      </c>
      <c r="W16" s="5"/>
      <c r="X16" s="5">
        <f>+P16-T16</f>
        <v>352.28999999999996</v>
      </c>
      <c r="Y16" s="5"/>
      <c r="Z16" s="13">
        <f>IF(T16=0,0,X16/T16)</f>
        <v>-0.97562934448475447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45</v>
      </c>
      <c r="Q17" s="3"/>
      <c r="R17" s="20">
        <f>IF(P$12=0,0,P17/P$12)</f>
        <v>6.4403480650332037E-2</v>
      </c>
      <c r="S17" s="3"/>
      <c r="T17" s="3"/>
      <c r="U17" s="3"/>
      <c r="V17" s="20">
        <f>IF(T$12=0,0,T17/T$12)</f>
        <v>0</v>
      </c>
      <c r="W17" s="3"/>
      <c r="X17" s="3">
        <f>+P17-T17</f>
        <v>45</v>
      </c>
      <c r="Y17" s="3"/>
      <c r="Z17" s="20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/>
      <c r="E18" s="3"/>
      <c r="F18" s="20">
        <f>IF(D$12=0,0,D18/D$12)</f>
        <v>0</v>
      </c>
      <c r="G18" s="3"/>
      <c r="H18" s="3">
        <v>-430</v>
      </c>
      <c r="I18" s="3"/>
      <c r="J18" s="20">
        <f>IF(H$12=0,0,H18/H$12)</f>
        <v>-3.2089552238805972</v>
      </c>
      <c r="K18" s="3"/>
      <c r="L18" s="3">
        <f>+D18-H18</f>
        <v>430</v>
      </c>
      <c r="M18" s="3"/>
      <c r="N18" s="20">
        <f>IF(H18=0,0,L18/H18)</f>
        <v>-1</v>
      </c>
      <c r="O18" s="12"/>
      <c r="P18" s="3">
        <v>-53.8</v>
      </c>
      <c r="Q18" s="3"/>
      <c r="R18" s="20">
        <f>IF(P$12=0,0,P18/P$12)</f>
        <v>-7.6997939088619183E-2</v>
      </c>
      <c r="S18" s="3"/>
      <c r="T18" s="3">
        <v>-361.09</v>
      </c>
      <c r="U18" s="3"/>
      <c r="V18" s="20">
        <f>IF(T$12=0,0,T18/T$12)</f>
        <v>-1.4798770491803277</v>
      </c>
      <c r="W18" s="3"/>
      <c r="X18" s="3">
        <f>+P18-T18</f>
        <v>307.28999999999996</v>
      </c>
      <c r="Y18" s="3"/>
      <c r="Z18" s="20">
        <f>IF(T18=0,0,X18/T18)</f>
        <v>-0.85100667423633991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3">
        <f>D12-D16</f>
        <v>0</v>
      </c>
      <c r="E20" s="15"/>
      <c r="F20" s="22">
        <f>IF(D$12=0,0,D20/D$12)</f>
        <v>0</v>
      </c>
      <c r="G20" s="15"/>
      <c r="H20" s="23">
        <f>H12-H16</f>
        <v>564</v>
      </c>
      <c r="I20" s="15"/>
      <c r="J20" s="22">
        <f>IF(H$12=0,0,H20/H$12)</f>
        <v>4.2089552238805972</v>
      </c>
      <c r="K20" s="17"/>
      <c r="L20" s="23">
        <f>+D20-H20</f>
        <v>-564</v>
      </c>
      <c r="M20" s="17"/>
      <c r="N20" s="22">
        <f>IF(H20=0,0,L20/H20)</f>
        <v>-1</v>
      </c>
      <c r="O20" s="27"/>
      <c r="P20" s="23">
        <f>P12-P16</f>
        <v>707.52</v>
      </c>
      <c r="Q20" s="15"/>
      <c r="R20" s="22">
        <f>IF(P$12=0,0,P20/P$12)</f>
        <v>1.0125944584382871</v>
      </c>
      <c r="S20" s="15"/>
      <c r="T20" s="23">
        <f>T12-T16</f>
        <v>605.08999999999992</v>
      </c>
      <c r="U20" s="15"/>
      <c r="V20" s="22">
        <f>IF(T$12=0,0,T20/T$12)</f>
        <v>2.4798770491803275</v>
      </c>
      <c r="W20" s="17"/>
      <c r="X20" s="23">
        <f>+P20-T20</f>
        <v>102.43000000000006</v>
      </c>
      <c r="Y20" s="17"/>
      <c r="Z20" s="22">
        <f>IF(T20=0,0,X20/T20)</f>
        <v>0.1692806028855213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1" cm="1">
        <f t="array" ref="D22">SUM(OSRRefD22x_0)</f>
        <v>0</v>
      </c>
      <c r="E22" s="21"/>
      <c r="F22" s="30">
        <f>IF(D$12=0,0,D22/D$12)</f>
        <v>0</v>
      </c>
      <c r="G22" s="21"/>
      <c r="H22" s="21" cm="1">
        <f t="array" ref="H22">SUM(OSRRefH22x_0)</f>
        <v>0</v>
      </c>
      <c r="I22" s="21"/>
      <c r="J22" s="30">
        <f>IF(H$12=0,0,H22/H$12)</f>
        <v>0</v>
      </c>
      <c r="K22" s="5"/>
      <c r="L22" s="21">
        <f>+D22-H22</f>
        <v>0</v>
      </c>
      <c r="M22" s="5"/>
      <c r="N22" s="30">
        <f>IF(H22=0,0,L22/H22)</f>
        <v>0</v>
      </c>
      <c r="O22" s="11"/>
      <c r="P22" s="21" cm="1">
        <f t="array" ref="P22">SUM(OSRRefP22x_0)</f>
        <v>1125.53</v>
      </c>
      <c r="Q22" s="21"/>
      <c r="R22" s="30">
        <f>IF(P$12=0,0,P22/P$12)</f>
        <v>1.6108455461415159</v>
      </c>
      <c r="S22" s="21"/>
      <c r="T22" s="21" cm="1">
        <f t="array" ref="T22">SUM(OSRRefT22x_0)</f>
        <v>0</v>
      </c>
      <c r="U22" s="21"/>
      <c r="V22" s="30">
        <f>IF(T$12=0,0,T22/T$12)</f>
        <v>0</v>
      </c>
      <c r="W22" s="5"/>
      <c r="X22" s="21">
        <f>+P22-T22</f>
        <v>1125.53</v>
      </c>
      <c r="Y22" s="5"/>
      <c r="Z22" s="30">
        <f>IF(T22=0,0,X22/T22)</f>
        <v>0</v>
      </c>
    </row>
    <row r="23" spans="1:26" s="68" customFormat="1" ht="15" customHeight="1" outlineLevel="1" collapsed="1" x14ac:dyDescent="0.3">
      <c r="A23" s="25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SUM(OSRRefD22_0x_0)</f>
        <v>0</v>
      </c>
      <c r="E23" s="2"/>
      <c r="F23" s="6">
        <f>IF(D$12=0,0,D23/D$12)</f>
        <v>0</v>
      </c>
      <c r="G23" s="2"/>
      <c r="H23" s="2">
        <f>SUM(OSRRefH22_0x_0)</f>
        <v>0</v>
      </c>
      <c r="I23" s="2"/>
      <c r="J23" s="6">
        <f>IF(H$12=0,0,H23/H$12)</f>
        <v>0</v>
      </c>
      <c r="K23" s="2"/>
      <c r="L23" s="2">
        <f>+D23-H23</f>
        <v>0</v>
      </c>
      <c r="M23" s="2"/>
      <c r="N23" s="6">
        <f>IF(H23=0,0,L23/H23)</f>
        <v>0</v>
      </c>
      <c r="O23" s="14"/>
      <c r="P23" s="2">
        <f>SUM(OSRRefP22_0x_0)</f>
        <v>366.65</v>
      </c>
      <c r="Q23" s="2"/>
      <c r="R23" s="6">
        <f>IF(P$12=0,0,P23/P$12)</f>
        <v>0.52474524845431636</v>
      </c>
      <c r="S23" s="2"/>
      <c r="T23" s="2">
        <f>SUM(OSRRefT22_0x_0)</f>
        <v>0</v>
      </c>
      <c r="U23" s="2"/>
      <c r="V23" s="6">
        <f>IF(T$12=0,0,T23/T$12)</f>
        <v>0</v>
      </c>
      <c r="W23" s="2"/>
      <c r="X23" s="2">
        <f>+P23-T23</f>
        <v>366.65</v>
      </c>
      <c r="Y23" s="2"/>
      <c r="Z23" s="6">
        <f>IF(T23=0,0,X23/T23)</f>
        <v>0</v>
      </c>
    </row>
    <row r="24" spans="1:26" s="69" customFormat="1" ht="15" hidden="1" customHeight="1" outlineLevel="2" x14ac:dyDescent="0.3">
      <c r="A24" s="26"/>
      <c r="B24" s="12" t="str">
        <f>CONCATENATE("          ","6381"," - ","BANK/CREDIT CARD FEES")</f>
        <v xml:space="preserve">          6381 - BANK/CREDIT CARD FEES</v>
      </c>
      <c r="C24" s="12"/>
      <c r="D24" s="8"/>
      <c r="E24" s="3"/>
      <c r="F24" s="7">
        <f>IF(D$12=0,0,D24/D$12)</f>
        <v>0</v>
      </c>
      <c r="G24" s="3"/>
      <c r="H24" s="8"/>
      <c r="I24" s="3"/>
      <c r="J24" s="7">
        <f>IF(H$12=0,0,H24/H$12)</f>
        <v>0</v>
      </c>
      <c r="K24" s="3"/>
      <c r="L24" s="8">
        <f>+D24-H24</f>
        <v>0</v>
      </c>
      <c r="M24" s="3"/>
      <c r="N24" s="7">
        <f>IF(H24=0,0,L24/H24)</f>
        <v>0</v>
      </c>
      <c r="O24" s="12"/>
      <c r="P24" s="8">
        <v>366.65</v>
      </c>
      <c r="Q24" s="3"/>
      <c r="R24" s="7">
        <f>IF(P$12=0,0,P24/P$12)</f>
        <v>0.52474524845431636</v>
      </c>
      <c r="S24" s="3"/>
      <c r="T24" s="8"/>
      <c r="U24" s="3"/>
      <c r="V24" s="7">
        <f>IF(T$12=0,0,T24/T$12)</f>
        <v>0</v>
      </c>
      <c r="W24" s="3"/>
      <c r="X24" s="8">
        <f>+P24-T24</f>
        <v>366.65</v>
      </c>
      <c r="Y24" s="3"/>
      <c r="Z24" s="7">
        <f>IF(T24=0,0,X24/T24)</f>
        <v>0</v>
      </c>
    </row>
    <row r="25" spans="1:26" s="68" customFormat="1" ht="15" customHeight="1" outlineLevel="1" collapsed="1" x14ac:dyDescent="0.3">
      <c r="A25" s="25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SUM(OSRRefD22_1x_0)</f>
        <v>0</v>
      </c>
      <c r="E25" s="2"/>
      <c r="F25" s="6">
        <f>IF(D$12=0,0,D25/D$12)</f>
        <v>0</v>
      </c>
      <c r="G25" s="2"/>
      <c r="H25" s="2">
        <f>SUM(OSRRefH22_1x_0)</f>
        <v>0</v>
      </c>
      <c r="I25" s="2"/>
      <c r="J25" s="6">
        <f>IF(H$12=0,0,H25/H$12)</f>
        <v>0</v>
      </c>
      <c r="K25" s="2"/>
      <c r="L25" s="2">
        <f>+D25-H25</f>
        <v>0</v>
      </c>
      <c r="M25" s="2"/>
      <c r="N25" s="6">
        <f>IF(H25=0,0,L25/H25)</f>
        <v>0</v>
      </c>
      <c r="O25" s="14"/>
      <c r="P25" s="2">
        <f>SUM(OSRRefP22_1x_0)</f>
        <v>758.88</v>
      </c>
      <c r="Q25" s="2"/>
      <c r="R25" s="6">
        <f>IF(P$12=0,0,P25/P$12)</f>
        <v>1.0861002976871994</v>
      </c>
      <c r="S25" s="2"/>
      <c r="T25" s="2">
        <f>SUM(OSRRefT22_1x_0)</f>
        <v>0</v>
      </c>
      <c r="U25" s="2"/>
      <c r="V25" s="6">
        <f>IF(T$12=0,0,T25/T$12)</f>
        <v>0</v>
      </c>
      <c r="W25" s="2"/>
      <c r="X25" s="2">
        <f>+P25-T25</f>
        <v>758.88</v>
      </c>
      <c r="Y25" s="2"/>
      <c r="Z25" s="6">
        <f>IF(T25=0,0,X25/T25)</f>
        <v>0</v>
      </c>
    </row>
    <row r="26" spans="1:26" s="69" customFormat="1" ht="15" hidden="1" customHeight="1" outlineLevel="2" x14ac:dyDescent="0.3">
      <c r="A26" s="26"/>
      <c r="B26" s="12" t="str">
        <f>CONCATENATE("          ","6279"," - ","GENERAL EXPENSE")</f>
        <v xml:space="preserve">          6279 - GENERAL EXPENSE</v>
      </c>
      <c r="C26" s="12"/>
      <c r="D26" s="8"/>
      <c r="E26" s="3"/>
      <c r="F26" s="7">
        <f>IF(D$12=0,0,D26/D$12)</f>
        <v>0</v>
      </c>
      <c r="G26" s="3"/>
      <c r="H26" s="8"/>
      <c r="I26" s="3"/>
      <c r="J26" s="7">
        <f>IF(H$12=0,0,H26/H$12)</f>
        <v>0</v>
      </c>
      <c r="K26" s="3"/>
      <c r="L26" s="8">
        <f>+D26-H26</f>
        <v>0</v>
      </c>
      <c r="M26" s="3"/>
      <c r="N26" s="7">
        <f>IF(H26=0,0,L26/H26)</f>
        <v>0</v>
      </c>
      <c r="O26" s="12"/>
      <c r="P26" s="8">
        <v>758.88</v>
      </c>
      <c r="Q26" s="3"/>
      <c r="R26" s="7">
        <f>IF(P$12=0,0,P26/P$12)</f>
        <v>1.0861002976871994</v>
      </c>
      <c r="S26" s="3"/>
      <c r="T26" s="8"/>
      <c r="U26" s="3"/>
      <c r="V26" s="7">
        <f>IF(T$12=0,0,T26/T$12)</f>
        <v>0</v>
      </c>
      <c r="W26" s="3"/>
      <c r="X26" s="8">
        <f>+P26-T26</f>
        <v>758.88</v>
      </c>
      <c r="Y26" s="3"/>
      <c r="Z26" s="7">
        <f>IF(T26=0,0,X26/T26)</f>
        <v>0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3">
        <f>+D20-D22+D28</f>
        <v>0</v>
      </c>
      <c r="E30" s="15"/>
      <c r="F30" s="22">
        <f>IF(D$12=0,0,D30/D$12)</f>
        <v>0</v>
      </c>
      <c r="G30" s="15"/>
      <c r="H30" s="23">
        <f>+H20-H22+H28</f>
        <v>564</v>
      </c>
      <c r="I30" s="15"/>
      <c r="J30" s="22">
        <f>IF(H$12=0,0,H30/H$12)</f>
        <v>4.2089552238805972</v>
      </c>
      <c r="K30" s="17"/>
      <c r="L30" s="23">
        <f>+D30-H30</f>
        <v>-564</v>
      </c>
      <c r="M30" s="17"/>
      <c r="N30" s="22">
        <f>IF(H30=0,0,L30/H30)</f>
        <v>-1</v>
      </c>
      <c r="O30" s="27"/>
      <c r="P30" s="23">
        <f>+P20-P22+P28</f>
        <v>-418.01</v>
      </c>
      <c r="Q30" s="15"/>
      <c r="R30" s="22">
        <f>IF(P$12=0,0,P30/P$12)</f>
        <v>-0.59825108770322877</v>
      </c>
      <c r="S30" s="15"/>
      <c r="T30" s="23">
        <f>+T20-T22+T28</f>
        <v>605.08999999999992</v>
      </c>
      <c r="U30" s="15"/>
      <c r="V30" s="22">
        <f>IF(T$12=0,0,T30/T$12)</f>
        <v>2.4798770491803275</v>
      </c>
      <c r="W30" s="17"/>
      <c r="X30" s="23">
        <f>+P30-T30</f>
        <v>-1023.0999999999999</v>
      </c>
      <c r="Y30" s="17"/>
      <c r="Z30" s="22">
        <f>IF(T30=0,0,X30/T30)</f>
        <v>-1.6908228527987572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>
        <v>-5.27</v>
      </c>
      <c r="E32" s="5"/>
      <c r="F32" s="13">
        <f>IF(D$12=0,0,D32/D$12)</f>
        <v>0</v>
      </c>
      <c r="G32" s="5"/>
      <c r="H32" s="5">
        <v>28.35</v>
      </c>
      <c r="I32" s="5"/>
      <c r="J32" s="13">
        <f>IF(H$12=0,0,H32/H$12)</f>
        <v>0.21156716417910448</v>
      </c>
      <c r="K32" s="5"/>
      <c r="L32" s="5">
        <f>+D32-H32</f>
        <v>-33.620000000000005</v>
      </c>
      <c r="M32" s="5"/>
      <c r="N32" s="13">
        <f>IF(H32=0,0,L32/H32)</f>
        <v>-1.1858906525573194</v>
      </c>
      <c r="O32" s="11"/>
      <c r="P32" s="5">
        <v>87.22</v>
      </c>
      <c r="Q32" s="5"/>
      <c r="R32" s="13">
        <f>IF(P$12=0,0,P32/P$12)</f>
        <v>0.12482825738493245</v>
      </c>
      <c r="S32" s="5"/>
      <c r="T32" s="5">
        <v>48.32</v>
      </c>
      <c r="U32" s="5"/>
      <c r="V32" s="13">
        <f>IF(T$12=0,0,T32/T$12)</f>
        <v>0.19803278688524589</v>
      </c>
      <c r="W32" s="5"/>
      <c r="X32" s="5">
        <f>+P32-T32</f>
        <v>38.9</v>
      </c>
      <c r="Y32" s="5"/>
      <c r="Z32" s="13">
        <f>IF(T32=0,0,X32/T32)</f>
        <v>0.80504966887417218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3">
        <f>+D30-D32</f>
        <v>5.27</v>
      </c>
      <c r="E34" s="15"/>
      <c r="F34" s="34">
        <f>IF(D$12=0,0,D34/D$12)</f>
        <v>0</v>
      </c>
      <c r="G34" s="15"/>
      <c r="H34" s="33">
        <f>+H30-H32</f>
        <v>535.65</v>
      </c>
      <c r="I34" s="15"/>
      <c r="J34" s="34">
        <f>IF(H$12=0,0,H34/H$12)</f>
        <v>3.9973880597014926</v>
      </c>
      <c r="K34" s="17"/>
      <c r="L34" s="33">
        <f>D34-H34</f>
        <v>-530.38</v>
      </c>
      <c r="M34" s="17"/>
      <c r="N34" s="34">
        <f>IF(H34=0,0,L34/H34)</f>
        <v>-0.9901614860449921</v>
      </c>
      <c r="O34" s="27"/>
      <c r="P34" s="33">
        <f>+P30-P32</f>
        <v>-505.23</v>
      </c>
      <c r="Q34" s="15"/>
      <c r="R34" s="34">
        <f>IF(P$12=0,0,P34/P$12)</f>
        <v>-0.72307934508816119</v>
      </c>
      <c r="S34" s="15"/>
      <c r="T34" s="33">
        <f>+T30-T32</f>
        <v>556.76999999999987</v>
      </c>
      <c r="U34" s="15"/>
      <c r="V34" s="34">
        <f>IF(T$12=0,0,T34/T$12)</f>
        <v>2.2818442622950816</v>
      </c>
      <c r="W34" s="17"/>
      <c r="X34" s="33">
        <f>P34-T34</f>
        <v>-1062</v>
      </c>
      <c r="Y34" s="17"/>
      <c r="Z34" s="34">
        <f>IF(T34=0,0,X34/T34)</f>
        <v>-1.9074303572390758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35">
        <f>SUM(D34:D36)</f>
        <v>5.27</v>
      </c>
      <c r="E37" s="15"/>
      <c r="F37" s="29">
        <f>IF(D$12=0,0,D37/D$12)</f>
        <v>0</v>
      </c>
      <c r="G37" s="15"/>
      <c r="H37" s="35">
        <f>SUM(H34:H36)</f>
        <v>535.65</v>
      </c>
      <c r="I37" s="15"/>
      <c r="J37" s="29">
        <f>IF(H$12=0,0,H37/H$12)</f>
        <v>3.9973880597014926</v>
      </c>
      <c r="K37" s="17"/>
      <c r="L37" s="35">
        <f>+D37-H37</f>
        <v>-530.38</v>
      </c>
      <c r="M37" s="17"/>
      <c r="N37" s="29">
        <f>IF(H37=0,0,L37/H37)</f>
        <v>-0.9901614860449921</v>
      </c>
      <c r="O37" s="27"/>
      <c r="P37" s="35">
        <f>SUM(P34:P36)</f>
        <v>-505.23</v>
      </c>
      <c r="Q37" s="15"/>
      <c r="R37" s="29">
        <f>IF(P$12=0,0,P37/P$12)</f>
        <v>-0.72307934508816119</v>
      </c>
      <c r="S37" s="15"/>
      <c r="T37" s="35">
        <f>SUM(T34:T36)</f>
        <v>556.76999999999987</v>
      </c>
      <c r="U37" s="15"/>
      <c r="V37" s="29">
        <f>IF(T$12=0,0,T37/T$12)</f>
        <v>2.2818442622950816</v>
      </c>
      <c r="W37" s="17"/>
      <c r="X37" s="35">
        <f>+P37-T37</f>
        <v>-1062</v>
      </c>
      <c r="Y37" s="17"/>
      <c r="Z37" s="29">
        <f>IF(T37=0,0,X37/T37)</f>
        <v>-1.9074303572390758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0">
        <v>44634.887810300927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8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A41" s="10"/>
      <c r="B41" s="56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CBB4-D875-BA5C-D89A-0D634CDA6228}">
  <sheetPr>
    <tabColor rgb="FFFFC000"/>
    <outlinePr summaryBelow="0" summaryRight="0"/>
  </sheetPr>
  <dimension ref="A2:Z12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309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1607036.02</v>
      </c>
      <c r="E12" s="5"/>
      <c r="F12" s="13"/>
      <c r="G12" s="5"/>
      <c r="H12" s="5">
        <f>SUM(OSRRefH13x_0)</f>
        <v>134623.31</v>
      </c>
      <c r="I12" s="5"/>
      <c r="J12" s="13"/>
      <c r="K12" s="5"/>
      <c r="L12" s="5">
        <f t="shared" ref="L12:L18" si="0">+D12-H12</f>
        <v>1472412.71</v>
      </c>
      <c r="M12" s="5"/>
      <c r="N12" s="13">
        <f t="shared" ref="N12:N18" si="1">IF(H12=0,0,L12/H12)</f>
        <v>10.937279064078872</v>
      </c>
      <c r="O12" s="11"/>
      <c r="P12" s="5">
        <f>SUM(OSRRefP13x_0)</f>
        <v>8635753.5399999991</v>
      </c>
      <c r="Q12" s="5"/>
      <c r="R12" s="13"/>
      <c r="S12" s="5"/>
      <c r="T12" s="5">
        <f>SUM(OSRRefT13x_0)</f>
        <v>1085661.78</v>
      </c>
      <c r="U12" s="5"/>
      <c r="V12" s="13"/>
      <c r="W12" s="5"/>
      <c r="X12" s="5">
        <f t="shared" ref="X12:X18" si="2">+P12-T12</f>
        <v>7550091.7599999988</v>
      </c>
      <c r="Y12" s="5"/>
      <c r="Z12" s="13">
        <f t="shared" ref="Z12:Z18" si="3">IF(T12=0,0,X12/T12)</f>
        <v>6.9543682011169246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--56305.76</f>
        <v>56305.760000000002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56305.760000000002</v>
      </c>
      <c r="M13" s="3"/>
      <c r="N13" s="20">
        <f t="shared" si="1"/>
        <v>0</v>
      </c>
      <c r="O13" s="12"/>
      <c r="P13" s="3">
        <f>--205665.12</f>
        <v>205665.12</v>
      </c>
      <c r="Q13" s="3"/>
      <c r="R13" s="20"/>
      <c r="S13" s="3"/>
      <c r="T13" s="3">
        <f>--22964.48</f>
        <v>22964.48</v>
      </c>
      <c r="U13" s="3"/>
      <c r="V13" s="20"/>
      <c r="W13" s="3"/>
      <c r="X13" s="3">
        <f t="shared" si="2"/>
        <v>182700.63999999998</v>
      </c>
      <c r="Y13" s="3"/>
      <c r="Z13" s="20">
        <f t="shared" si="3"/>
        <v>7.9557925979599791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--49980.95</f>
        <v>49980.95</v>
      </c>
      <c r="I14" s="3"/>
      <c r="J14" s="20"/>
      <c r="K14" s="3"/>
      <c r="L14" s="3">
        <f t="shared" si="0"/>
        <v>-49980.95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--280157.8</f>
        <v>280157.8</v>
      </c>
      <c r="U14" s="3"/>
      <c r="V14" s="20"/>
      <c r="W14" s="3"/>
      <c r="X14" s="3">
        <f t="shared" si="2"/>
        <v>-280157.8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--6171.55</f>
        <v>6171.55</v>
      </c>
      <c r="E15" s="3"/>
      <c r="F15" s="20"/>
      <c r="G15" s="3"/>
      <c r="H15" s="3">
        <f>--180.69</f>
        <v>180.69</v>
      </c>
      <c r="I15" s="3"/>
      <c r="J15" s="20"/>
      <c r="K15" s="3"/>
      <c r="L15" s="3">
        <f t="shared" si="0"/>
        <v>5990.8600000000006</v>
      </c>
      <c r="M15" s="3"/>
      <c r="N15" s="20">
        <f t="shared" si="1"/>
        <v>33.155459626985447</v>
      </c>
      <c r="O15" s="12"/>
      <c r="P15" s="3">
        <f>--17647.98</f>
        <v>17647.98</v>
      </c>
      <c r="Q15" s="3"/>
      <c r="R15" s="20"/>
      <c r="S15" s="3"/>
      <c r="T15" s="3">
        <f>--760.21</f>
        <v>760.21</v>
      </c>
      <c r="U15" s="3"/>
      <c r="V15" s="20"/>
      <c r="W15" s="3"/>
      <c r="X15" s="3">
        <f t="shared" si="2"/>
        <v>16887.77</v>
      </c>
      <c r="Y15" s="3"/>
      <c r="Z15" s="20">
        <f t="shared" si="3"/>
        <v>22.214611752015891</v>
      </c>
    </row>
    <row r="16" spans="1:26" s="69" customFormat="1" ht="15" hidden="1" customHeight="1" outlineLevel="1" x14ac:dyDescent="0.3">
      <c r="A16" s="42"/>
      <c r="B16" s="12" t="str">
        <f>CONCATENATE("          ","4058"," - ","TAXABLE SALES-FOOD")</f>
        <v xml:space="preserve">          4058 -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--974.91</f>
        <v>974.91</v>
      </c>
      <c r="U16" s="3"/>
      <c r="V16" s="20"/>
      <c r="W16" s="3"/>
      <c r="X16" s="3">
        <f t="shared" si="2"/>
        <v>-974.91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--1525252.75</f>
        <v>1525252.75</v>
      </c>
      <c r="E17" s="3"/>
      <c r="F17" s="20"/>
      <c r="G17" s="3"/>
      <c r="H17" s="3">
        <f>--78596.26</f>
        <v>78596.259999999995</v>
      </c>
      <c r="I17" s="3"/>
      <c r="J17" s="20"/>
      <c r="K17" s="3"/>
      <c r="L17" s="3">
        <f t="shared" si="0"/>
        <v>1446656.49</v>
      </c>
      <c r="M17" s="3"/>
      <c r="N17" s="20">
        <f t="shared" si="1"/>
        <v>18.406174670397803</v>
      </c>
      <c r="O17" s="12"/>
      <c r="P17" s="3">
        <f>--8331653.16</f>
        <v>8331653.1600000001</v>
      </c>
      <c r="Q17" s="3"/>
      <c r="R17" s="20"/>
      <c r="S17" s="3"/>
      <c r="T17" s="3">
        <f>--742969.81</f>
        <v>742969.81</v>
      </c>
      <c r="U17" s="3"/>
      <c r="V17" s="20"/>
      <c r="W17" s="3"/>
      <c r="X17" s="3">
        <f t="shared" si="2"/>
        <v>7588683.3499999996</v>
      </c>
      <c r="Y17" s="3"/>
      <c r="Z17" s="20">
        <f t="shared" si="3"/>
        <v>10.213986151065814</v>
      </c>
    </row>
    <row r="18" spans="1:26" s="69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--19305.96</f>
        <v>19305.96</v>
      </c>
      <c r="E18" s="3"/>
      <c r="F18" s="20"/>
      <c r="G18" s="3"/>
      <c r="H18" s="3">
        <f>--5865.41</f>
        <v>5865.41</v>
      </c>
      <c r="I18" s="3"/>
      <c r="J18" s="20"/>
      <c r="K18" s="3"/>
      <c r="L18" s="3">
        <f t="shared" si="0"/>
        <v>13440.55</v>
      </c>
      <c r="M18" s="3"/>
      <c r="N18" s="20">
        <f t="shared" si="1"/>
        <v>2.2914936892732136</v>
      </c>
      <c r="O18" s="12"/>
      <c r="P18" s="3">
        <f>--80787.28</f>
        <v>80787.28</v>
      </c>
      <c r="Q18" s="3"/>
      <c r="R18" s="20"/>
      <c r="S18" s="3"/>
      <c r="T18" s="3">
        <f>--37834.57</f>
        <v>37834.57</v>
      </c>
      <c r="U18" s="3"/>
      <c r="V18" s="20"/>
      <c r="W18" s="3"/>
      <c r="X18" s="3">
        <f t="shared" si="2"/>
        <v>42952.71</v>
      </c>
      <c r="Y18" s="3"/>
      <c r="Z18" s="20">
        <f t="shared" si="3"/>
        <v>1.135276811656641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collapsed="1" x14ac:dyDescent="0.3">
      <c r="A20" s="11"/>
      <c r="B20" s="27" t="s">
        <v>287</v>
      </c>
      <c r="C20" s="11"/>
      <c r="D20" s="5">
        <f>SUM(OSRRefD16x_0)</f>
        <v>387026.55000000005</v>
      </c>
      <c r="E20" s="5"/>
      <c r="F20" s="13">
        <f>IF(D$12=0,0,D20/D$12)</f>
        <v>0.24083252969028041</v>
      </c>
      <c r="G20" s="5"/>
      <c r="H20" s="5">
        <f>SUM(OSRRefH16x_0)</f>
        <v>37922.839999999997</v>
      </c>
      <c r="I20" s="5"/>
      <c r="J20" s="13">
        <f>IF(H$12=0,0,H20/H$12)</f>
        <v>0.28169594106696677</v>
      </c>
      <c r="K20" s="5"/>
      <c r="L20" s="5">
        <f>+D20-H20</f>
        <v>349103.71000000008</v>
      </c>
      <c r="M20" s="5"/>
      <c r="N20" s="13">
        <f>IF(H20=0,0,L20/H20)</f>
        <v>9.2056320149018411</v>
      </c>
      <c r="O20" s="11"/>
      <c r="P20" s="5">
        <f>SUM(OSRRefP16x_0)</f>
        <v>2232223.5500000003</v>
      </c>
      <c r="Q20" s="5"/>
      <c r="R20" s="13">
        <f>IF(P$12=0,0,P20/P$12)</f>
        <v>0.25848625017614857</v>
      </c>
      <c r="S20" s="5"/>
      <c r="T20" s="5">
        <f>SUM(OSRRefT16x_0)</f>
        <v>340943.57</v>
      </c>
      <c r="U20" s="5"/>
      <c r="V20" s="13">
        <f>IF(T$12=0,0,T20/T$12)</f>
        <v>0.31404215961254528</v>
      </c>
      <c r="W20" s="5"/>
      <c r="X20" s="5">
        <f>+P20-T20</f>
        <v>1891279.9800000002</v>
      </c>
      <c r="Y20" s="5"/>
      <c r="Z20" s="13">
        <f>IF(T20=0,0,X20/T20)</f>
        <v>5.5471935722383625</v>
      </c>
    </row>
    <row r="21" spans="1:26" s="69" customFormat="1" ht="15" hidden="1" customHeight="1" outlineLevel="1" x14ac:dyDescent="0.3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390356.27</v>
      </c>
      <c r="E21" s="3"/>
      <c r="F21" s="20">
        <f>IF(D$12=0,0,D21/D$12)</f>
        <v>0.24290449320482563</v>
      </c>
      <c r="G21" s="3"/>
      <c r="H21" s="3">
        <v>44580.84</v>
      </c>
      <c r="I21" s="3"/>
      <c r="J21" s="20">
        <f>IF(H$12=0,0,H21/H$12)</f>
        <v>0.33115245792129161</v>
      </c>
      <c r="K21" s="3"/>
      <c r="L21" s="3">
        <f>+D21-H21</f>
        <v>345775.43000000005</v>
      </c>
      <c r="M21" s="3"/>
      <c r="N21" s="20">
        <f>IF(H21=0,0,L21/H21)</f>
        <v>7.7561443436238546</v>
      </c>
      <c r="O21" s="12"/>
      <c r="P21" s="3">
        <v>2262259.12</v>
      </c>
      <c r="Q21" s="3"/>
      <c r="R21" s="20">
        <f>IF(P$12=0,0,P21/P$12)</f>
        <v>0.26196429871712162</v>
      </c>
      <c r="S21" s="3"/>
      <c r="T21" s="3">
        <v>345104.19</v>
      </c>
      <c r="U21" s="3"/>
      <c r="V21" s="20">
        <f>IF(T$12=0,0,T21/T$12)</f>
        <v>0.31787449494629899</v>
      </c>
      <c r="W21" s="3"/>
      <c r="X21" s="3">
        <f>+P21-T21</f>
        <v>1917154.9300000002</v>
      </c>
      <c r="Y21" s="3"/>
      <c r="Z21" s="20">
        <f>IF(T21=0,0,X21/T21)</f>
        <v>5.5552931130740548</v>
      </c>
    </row>
    <row r="22" spans="1:26" s="69" customFormat="1" ht="15" hidden="1" customHeight="1" outlineLevel="1" x14ac:dyDescent="0.3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-3329.72</v>
      </c>
      <c r="E22" s="3"/>
      <c r="F22" s="20">
        <f>IF(D$12=0,0,D22/D$12)</f>
        <v>-2.0719635145452432E-3</v>
      </c>
      <c r="G22" s="3"/>
      <c r="H22" s="3">
        <v>-6658</v>
      </c>
      <c r="I22" s="3"/>
      <c r="J22" s="20">
        <f>IF(H$12=0,0,H22/H$12)</f>
        <v>-4.945651685432486E-2</v>
      </c>
      <c r="K22" s="3"/>
      <c r="L22" s="3">
        <f>+D22-H22</f>
        <v>3328.28</v>
      </c>
      <c r="M22" s="3"/>
      <c r="N22" s="20">
        <f>IF(H22=0,0,L22/H22)</f>
        <v>-0.49989185941724246</v>
      </c>
      <c r="O22" s="12"/>
      <c r="P22" s="3">
        <v>-30035.57</v>
      </c>
      <c r="Q22" s="3"/>
      <c r="R22" s="20">
        <f>IF(P$12=0,0,P22/P$12)</f>
        <v>-3.4780485409730676E-3</v>
      </c>
      <c r="S22" s="3"/>
      <c r="T22" s="3">
        <v>-4160.62</v>
      </c>
      <c r="U22" s="3"/>
      <c r="V22" s="20">
        <f>IF(T$12=0,0,T22/T$12)</f>
        <v>-3.8323353337537587E-3</v>
      </c>
      <c r="W22" s="3"/>
      <c r="X22" s="3">
        <f>+P22-T22</f>
        <v>-25874.95</v>
      </c>
      <c r="Y22" s="3"/>
      <c r="Z22" s="20">
        <f>IF(T22=0,0,X22/T22)</f>
        <v>6.2190130317116203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11"/>
      <c r="B24" s="28" t="s">
        <v>288</v>
      </c>
      <c r="C24" s="28"/>
      <c r="D24" s="23">
        <f>D12-D20</f>
        <v>1220009.47</v>
      </c>
      <c r="E24" s="15"/>
      <c r="F24" s="22">
        <f>IF(D$12=0,0,D24/D$12)</f>
        <v>0.75916747030971965</v>
      </c>
      <c r="G24" s="15"/>
      <c r="H24" s="23">
        <f>H12-H20</f>
        <v>96700.47</v>
      </c>
      <c r="I24" s="15"/>
      <c r="J24" s="22">
        <f>IF(H$12=0,0,H24/H$12)</f>
        <v>0.71830405893303328</v>
      </c>
      <c r="K24" s="17"/>
      <c r="L24" s="23">
        <f>+D24-H24</f>
        <v>1123309</v>
      </c>
      <c r="M24" s="17"/>
      <c r="N24" s="22">
        <f>IF(H24=0,0,L24/H24)</f>
        <v>11.616375804585024</v>
      </c>
      <c r="O24" s="27"/>
      <c r="P24" s="23">
        <f>P12-P20</f>
        <v>6403529.9899999984</v>
      </c>
      <c r="Q24" s="15"/>
      <c r="R24" s="22">
        <f>IF(P$12=0,0,P24/P$12)</f>
        <v>0.74151374982385143</v>
      </c>
      <c r="S24" s="15"/>
      <c r="T24" s="23">
        <f>T12-T20</f>
        <v>744718.21</v>
      </c>
      <c r="U24" s="15"/>
      <c r="V24" s="22">
        <f>IF(T$12=0,0,T24/T$12)</f>
        <v>0.68595784038745466</v>
      </c>
      <c r="W24" s="17"/>
      <c r="X24" s="23">
        <f>+P24-T24</f>
        <v>5658811.7799999984</v>
      </c>
      <c r="Y24" s="17"/>
      <c r="Z24" s="22">
        <f>IF(T24=0,0,X24/T24)</f>
        <v>7.5985946147335364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2" customFormat="1" ht="15" customHeight="1" x14ac:dyDescent="0.3">
      <c r="A26" s="11"/>
      <c r="B26" s="27" t="s">
        <v>289</v>
      </c>
      <c r="C26" s="11"/>
      <c r="D26" s="21" cm="1">
        <f t="array" ref="D26">SUM(OSRRefD22x_0)</f>
        <v>731096.48000000021</v>
      </c>
      <c r="E26" s="21"/>
      <c r="F26" s="30">
        <f t="shared" ref="F26:F57" si="4">IF(D$12=0,0,D26/D$12)</f>
        <v>0.45493471888701054</v>
      </c>
      <c r="G26" s="21"/>
      <c r="H26" s="21" cm="1">
        <f t="array" ref="H26">SUM(OSRRefH22x_0)</f>
        <v>319426.62999999989</v>
      </c>
      <c r="I26" s="21"/>
      <c r="J26" s="30">
        <f t="shared" ref="J26:J57" si="5">IF(H$12=0,0,H26/H$12)</f>
        <v>2.3727438435438848</v>
      </c>
      <c r="K26" s="5"/>
      <c r="L26" s="21">
        <f t="shared" ref="L26:L57" si="6">+D26-H26</f>
        <v>411669.85000000033</v>
      </c>
      <c r="M26" s="5"/>
      <c r="N26" s="30">
        <f t="shared" ref="N26:N57" si="7">IF(H26=0,0,L26/H26)</f>
        <v>1.2887774885894783</v>
      </c>
      <c r="O26" s="11"/>
      <c r="P26" s="21" cm="1">
        <f t="array" ref="P26">SUM(OSRRefP22x_0)</f>
        <v>5026072.3600000003</v>
      </c>
      <c r="Q26" s="21"/>
      <c r="R26" s="30">
        <f t="shared" ref="R26:R57" si="8">IF(P$12=0,0,P26/P$12)</f>
        <v>0.58200738785789863</v>
      </c>
      <c r="S26" s="21"/>
      <c r="T26" s="21" cm="1">
        <f t="array" ref="T26">SUM(OSRRefT22x_0)</f>
        <v>2691625.84</v>
      </c>
      <c r="U26" s="21"/>
      <c r="V26" s="30">
        <f t="shared" ref="V26:V57" si="9">IF(T$12=0,0,T26/T$12)</f>
        <v>2.4792489609425137</v>
      </c>
      <c r="W26" s="5"/>
      <c r="X26" s="21">
        <f t="shared" ref="X26:X57" si="10">+P26-T26</f>
        <v>2334446.5200000005</v>
      </c>
      <c r="Y26" s="5"/>
      <c r="Z26" s="30">
        <f t="shared" ref="Z26:Z57" si="11">IF(T26=0,0,X26/T26)</f>
        <v>0.8672997878486709</v>
      </c>
    </row>
    <row r="27" spans="1:26" s="68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115911.3</v>
      </c>
      <c r="E27" s="2"/>
      <c r="F27" s="6">
        <f t="shared" si="4"/>
        <v>7.2127381438531785E-2</v>
      </c>
      <c r="G27" s="2"/>
      <c r="H27" s="2">
        <f>SUM(OSRRefH22_0x_0)</f>
        <v>93584.98</v>
      </c>
      <c r="I27" s="2"/>
      <c r="J27" s="6">
        <f t="shared" si="5"/>
        <v>0.69516178141809171</v>
      </c>
      <c r="K27" s="2"/>
      <c r="L27" s="2">
        <f t="shared" si="6"/>
        <v>22326.320000000007</v>
      </c>
      <c r="M27" s="2"/>
      <c r="N27" s="6">
        <f t="shared" si="7"/>
        <v>0.23856734275094152</v>
      </c>
      <c r="O27" s="14"/>
      <c r="P27" s="2">
        <f>SUM(OSRRefP22_0x_0)</f>
        <v>932197.37</v>
      </c>
      <c r="Q27" s="2"/>
      <c r="R27" s="6">
        <f t="shared" si="8"/>
        <v>0.10794626846194132</v>
      </c>
      <c r="S27" s="2"/>
      <c r="T27" s="2">
        <f>SUM(OSRRefT22_0x_0)</f>
        <v>783348.0199999999</v>
      </c>
      <c r="U27" s="2"/>
      <c r="V27" s="6">
        <f t="shared" si="9"/>
        <v>0.72153964930035563</v>
      </c>
      <c r="W27" s="2"/>
      <c r="X27" s="2">
        <f t="shared" si="10"/>
        <v>148849.35000000009</v>
      </c>
      <c r="Y27" s="2"/>
      <c r="Z27" s="6">
        <f t="shared" si="11"/>
        <v>0.19001688419407775</v>
      </c>
    </row>
    <row r="28" spans="1:26" s="69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8">
        <v>16989.34</v>
      </c>
      <c r="E28" s="3"/>
      <c r="F28" s="7">
        <f t="shared" si="4"/>
        <v>1.0571847667733048E-2</v>
      </c>
      <c r="G28" s="3"/>
      <c r="H28" s="8">
        <v>9406.1299999999992</v>
      </c>
      <c r="I28" s="3"/>
      <c r="J28" s="7">
        <f t="shared" si="5"/>
        <v>6.9869995025378592E-2</v>
      </c>
      <c r="K28" s="3"/>
      <c r="L28" s="8">
        <f t="shared" si="6"/>
        <v>7583.2100000000009</v>
      </c>
      <c r="M28" s="3"/>
      <c r="N28" s="7">
        <f t="shared" si="7"/>
        <v>0.80619872359833444</v>
      </c>
      <c r="O28" s="12"/>
      <c r="P28" s="8">
        <v>128867.38</v>
      </c>
      <c r="Q28" s="3"/>
      <c r="R28" s="7">
        <f t="shared" si="8"/>
        <v>1.4922540274348776E-2</v>
      </c>
      <c r="S28" s="3"/>
      <c r="T28" s="8">
        <v>83461.399999999994</v>
      </c>
      <c r="U28" s="3"/>
      <c r="V28" s="7">
        <f t="shared" si="9"/>
        <v>7.6876059871979638E-2</v>
      </c>
      <c r="W28" s="3"/>
      <c r="X28" s="8">
        <f t="shared" si="10"/>
        <v>45405.98000000001</v>
      </c>
      <c r="Y28" s="3"/>
      <c r="Z28" s="7">
        <f t="shared" si="11"/>
        <v>0.54403568595782015</v>
      </c>
    </row>
    <row r="29" spans="1:26" s="69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8">
        <v>11608.16</v>
      </c>
      <c r="E29" s="3"/>
      <c r="F29" s="7">
        <f t="shared" si="4"/>
        <v>7.2233352927584035E-3</v>
      </c>
      <c r="G29" s="3"/>
      <c r="H29" s="8">
        <v>5336.1</v>
      </c>
      <c r="I29" s="3"/>
      <c r="J29" s="7">
        <f t="shared" si="5"/>
        <v>3.9637266384253966E-2</v>
      </c>
      <c r="K29" s="3"/>
      <c r="L29" s="8">
        <f t="shared" si="6"/>
        <v>6272.0599999999995</v>
      </c>
      <c r="M29" s="3"/>
      <c r="N29" s="7">
        <f t="shared" si="7"/>
        <v>1.1754015104664453</v>
      </c>
      <c r="O29" s="12"/>
      <c r="P29" s="8">
        <v>74619.16</v>
      </c>
      <c r="Q29" s="3"/>
      <c r="R29" s="7">
        <f t="shared" si="8"/>
        <v>8.6407236675260669E-3</v>
      </c>
      <c r="S29" s="3"/>
      <c r="T29" s="8">
        <v>45487.1</v>
      </c>
      <c r="U29" s="3"/>
      <c r="V29" s="7">
        <f t="shared" si="9"/>
        <v>4.1898039369130224E-2</v>
      </c>
      <c r="W29" s="3"/>
      <c r="X29" s="8">
        <f t="shared" si="10"/>
        <v>29132.060000000005</v>
      </c>
      <c r="Y29" s="3"/>
      <c r="Z29" s="7">
        <f t="shared" si="11"/>
        <v>0.64044663212207431</v>
      </c>
    </row>
    <row r="30" spans="1:26" s="69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8">
        <v>55061.599999999999</v>
      </c>
      <c r="E30" s="3"/>
      <c r="F30" s="7">
        <f t="shared" si="4"/>
        <v>3.4262828782145156E-2</v>
      </c>
      <c r="G30" s="3"/>
      <c r="H30" s="8">
        <v>53968.57</v>
      </c>
      <c r="I30" s="3"/>
      <c r="J30" s="7">
        <f t="shared" si="5"/>
        <v>0.40088577527918456</v>
      </c>
      <c r="K30" s="3"/>
      <c r="L30" s="8">
        <f t="shared" si="6"/>
        <v>1093.0299999999988</v>
      </c>
      <c r="M30" s="3"/>
      <c r="N30" s="7">
        <f t="shared" si="7"/>
        <v>2.0253084341497262E-2</v>
      </c>
      <c r="O30" s="12"/>
      <c r="P30" s="8">
        <v>442818.46</v>
      </c>
      <c r="Q30" s="3"/>
      <c r="R30" s="7">
        <f t="shared" si="8"/>
        <v>5.1277338792602926E-2</v>
      </c>
      <c r="S30" s="3"/>
      <c r="T30" s="8">
        <v>436460.94</v>
      </c>
      <c r="U30" s="3"/>
      <c r="V30" s="7">
        <f t="shared" si="9"/>
        <v>0.4020229394093619</v>
      </c>
      <c r="W30" s="3"/>
      <c r="X30" s="8">
        <f t="shared" si="10"/>
        <v>6357.5200000000186</v>
      </c>
      <c r="Y30" s="3"/>
      <c r="Z30" s="7">
        <f t="shared" si="11"/>
        <v>1.4566068615441324E-2</v>
      </c>
    </row>
    <row r="31" spans="1:26" s="69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8">
        <v>868.51</v>
      </c>
      <c r="E31" s="3"/>
      <c r="F31" s="7">
        <f t="shared" si="4"/>
        <v>5.4044214889470866E-4</v>
      </c>
      <c r="G31" s="3"/>
      <c r="H31" s="8">
        <v>369.62</v>
      </c>
      <c r="I31" s="3"/>
      <c r="J31" s="7">
        <f t="shared" si="5"/>
        <v>2.7455869269593803E-3</v>
      </c>
      <c r="K31" s="3"/>
      <c r="L31" s="8">
        <f t="shared" si="6"/>
        <v>498.89</v>
      </c>
      <c r="M31" s="3"/>
      <c r="N31" s="7">
        <f t="shared" si="7"/>
        <v>1.349737568313403</v>
      </c>
      <c r="O31" s="12"/>
      <c r="P31" s="8">
        <v>5641.03</v>
      </c>
      <c r="Q31" s="3"/>
      <c r="R31" s="7">
        <f t="shared" si="8"/>
        <v>6.5321803984693153E-4</v>
      </c>
      <c r="S31" s="3"/>
      <c r="T31" s="8">
        <v>3244.12</v>
      </c>
      <c r="U31" s="3"/>
      <c r="V31" s="7">
        <f t="shared" si="9"/>
        <v>2.9881497716535621E-3</v>
      </c>
      <c r="W31" s="3"/>
      <c r="X31" s="8">
        <f t="shared" si="10"/>
        <v>2396.91</v>
      </c>
      <c r="Y31" s="3"/>
      <c r="Z31" s="7">
        <f t="shared" si="11"/>
        <v>0.73884751488847511</v>
      </c>
    </row>
    <row r="32" spans="1:26" s="69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8">
        <v>7072.52</v>
      </c>
      <c r="E32" s="3"/>
      <c r="F32" s="7">
        <f t="shared" si="4"/>
        <v>4.4009716720599702E-3</v>
      </c>
      <c r="G32" s="3"/>
      <c r="H32" s="8">
        <v>6297.64</v>
      </c>
      <c r="I32" s="3"/>
      <c r="J32" s="7">
        <f t="shared" si="5"/>
        <v>4.6779714449154464E-2</v>
      </c>
      <c r="K32" s="3"/>
      <c r="L32" s="8">
        <f t="shared" si="6"/>
        <v>774.88000000000011</v>
      </c>
      <c r="M32" s="3"/>
      <c r="N32" s="7">
        <f t="shared" si="7"/>
        <v>0.12304291766439493</v>
      </c>
      <c r="O32" s="12"/>
      <c r="P32" s="8">
        <v>60784.46</v>
      </c>
      <c r="Q32" s="3"/>
      <c r="R32" s="7">
        <f t="shared" si="8"/>
        <v>7.0386978644598978E-3</v>
      </c>
      <c r="S32" s="3"/>
      <c r="T32" s="8">
        <v>59476.53</v>
      </c>
      <c r="U32" s="3"/>
      <c r="V32" s="7">
        <f t="shared" si="9"/>
        <v>5.478366384050104E-2</v>
      </c>
      <c r="W32" s="3"/>
      <c r="X32" s="8">
        <f t="shared" si="10"/>
        <v>1307.9300000000003</v>
      </c>
      <c r="Y32" s="3"/>
      <c r="Z32" s="7">
        <f t="shared" si="11"/>
        <v>2.1990691117992262E-2</v>
      </c>
    </row>
    <row r="33" spans="1:26" s="69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1870.09</v>
      </c>
      <c r="E33" s="3"/>
      <c r="F33" s="7">
        <f t="shared" si="4"/>
        <v>1.1636889134569615E-3</v>
      </c>
      <c r="G33" s="3"/>
      <c r="H33" s="8">
        <v>1429.17</v>
      </c>
      <c r="I33" s="3"/>
      <c r="J33" s="7">
        <f t="shared" si="5"/>
        <v>1.0616066415244136E-2</v>
      </c>
      <c r="K33" s="3"/>
      <c r="L33" s="8">
        <f t="shared" si="6"/>
        <v>440.91999999999985</v>
      </c>
      <c r="M33" s="3"/>
      <c r="N33" s="7">
        <f t="shared" si="7"/>
        <v>0.30851473232715482</v>
      </c>
      <c r="O33" s="12"/>
      <c r="P33" s="8">
        <v>13855.5</v>
      </c>
      <c r="Q33" s="3"/>
      <c r="R33" s="7">
        <f t="shared" si="8"/>
        <v>1.6044343942682739E-3</v>
      </c>
      <c r="S33" s="3"/>
      <c r="T33" s="8">
        <v>11902.4</v>
      </c>
      <c r="U33" s="3"/>
      <c r="V33" s="7">
        <f t="shared" si="9"/>
        <v>1.0963267031469045E-2</v>
      </c>
      <c r="W33" s="3"/>
      <c r="X33" s="8">
        <f t="shared" si="10"/>
        <v>1953.1000000000004</v>
      </c>
      <c r="Y33" s="3"/>
      <c r="Z33" s="7">
        <f t="shared" si="11"/>
        <v>0.16409295604247887</v>
      </c>
    </row>
    <row r="34" spans="1:26" s="69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9963.57</v>
      </c>
      <c r="E34" s="3"/>
      <c r="F34" s="7">
        <f t="shared" si="4"/>
        <v>6.1999668184164278E-3</v>
      </c>
      <c r="G34" s="3"/>
      <c r="H34" s="8">
        <v>8303.74</v>
      </c>
      <c r="I34" s="3"/>
      <c r="J34" s="7">
        <f t="shared" si="5"/>
        <v>6.1681294272143507E-2</v>
      </c>
      <c r="K34" s="3"/>
      <c r="L34" s="8">
        <f t="shared" si="6"/>
        <v>1659.83</v>
      </c>
      <c r="M34" s="3"/>
      <c r="N34" s="7">
        <f t="shared" si="7"/>
        <v>0.19988944740562686</v>
      </c>
      <c r="O34" s="12"/>
      <c r="P34" s="8">
        <v>92598.49</v>
      </c>
      <c r="Q34" s="3"/>
      <c r="R34" s="7">
        <f t="shared" si="8"/>
        <v>1.0722687901072269E-2</v>
      </c>
      <c r="S34" s="3"/>
      <c r="T34" s="8">
        <v>73426.61</v>
      </c>
      <c r="U34" s="3"/>
      <c r="V34" s="7">
        <f t="shared" si="9"/>
        <v>6.7633043137983545E-2</v>
      </c>
      <c r="W34" s="3"/>
      <c r="X34" s="8">
        <f t="shared" si="10"/>
        <v>19171.880000000005</v>
      </c>
      <c r="Y34" s="3"/>
      <c r="Z34" s="7">
        <f t="shared" si="11"/>
        <v>0.26110261661269674</v>
      </c>
    </row>
    <row r="35" spans="1:26" s="69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7342.29</v>
      </c>
      <c r="E35" s="3"/>
      <c r="F35" s="7">
        <f t="shared" si="4"/>
        <v>4.5688397202198368E-3</v>
      </c>
      <c r="G35" s="3"/>
      <c r="H35" s="8">
        <v>5531.73</v>
      </c>
      <c r="I35" s="3"/>
      <c r="J35" s="7">
        <f t="shared" si="5"/>
        <v>4.1090432258722505E-2</v>
      </c>
      <c r="K35" s="3"/>
      <c r="L35" s="8">
        <f t="shared" si="6"/>
        <v>1810.5600000000004</v>
      </c>
      <c r="M35" s="3"/>
      <c r="N35" s="7">
        <f t="shared" si="7"/>
        <v>0.32730447798428347</v>
      </c>
      <c r="O35" s="12"/>
      <c r="P35" s="8">
        <v>74947.12</v>
      </c>
      <c r="Q35" s="3"/>
      <c r="R35" s="7">
        <f t="shared" si="8"/>
        <v>8.6787006661146558E-3</v>
      </c>
      <c r="S35" s="3"/>
      <c r="T35" s="8">
        <v>47149.98</v>
      </c>
      <c r="U35" s="3"/>
      <c r="V35" s="7">
        <f t="shared" si="9"/>
        <v>4.3429713441694523E-2</v>
      </c>
      <c r="W35" s="3"/>
      <c r="X35" s="8">
        <f t="shared" si="10"/>
        <v>27797.139999999992</v>
      </c>
      <c r="Y35" s="3"/>
      <c r="Z35" s="7">
        <f t="shared" si="11"/>
        <v>0.58954722780370195</v>
      </c>
    </row>
    <row r="36" spans="1:26" s="69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5135.22</v>
      </c>
      <c r="E36" s="3"/>
      <c r="F36" s="7">
        <f t="shared" si="4"/>
        <v>3.1954604228472739E-3</v>
      </c>
      <c r="G36" s="3"/>
      <c r="H36" s="8">
        <v>2942.28</v>
      </c>
      <c r="I36" s="3"/>
      <c r="J36" s="7">
        <f t="shared" si="5"/>
        <v>2.1855650407050609E-2</v>
      </c>
      <c r="K36" s="3"/>
      <c r="L36" s="8">
        <f t="shared" si="6"/>
        <v>2192.94</v>
      </c>
      <c r="M36" s="3"/>
      <c r="N36" s="7">
        <f t="shared" si="7"/>
        <v>0.74531995595252654</v>
      </c>
      <c r="O36" s="12"/>
      <c r="P36" s="8">
        <v>38065.769999999997</v>
      </c>
      <c r="Q36" s="3"/>
      <c r="R36" s="7">
        <f t="shared" si="8"/>
        <v>4.4079268617015213E-3</v>
      </c>
      <c r="S36" s="3"/>
      <c r="T36" s="8">
        <v>22738.94</v>
      </c>
      <c r="U36" s="3"/>
      <c r="V36" s="7">
        <f t="shared" si="9"/>
        <v>2.0944773426582262E-2</v>
      </c>
      <c r="W36" s="3"/>
      <c r="X36" s="8">
        <f t="shared" si="10"/>
        <v>15326.829999999998</v>
      </c>
      <c r="Y36" s="3"/>
      <c r="Z36" s="7">
        <f t="shared" si="11"/>
        <v>0.67403449765028622</v>
      </c>
    </row>
    <row r="37" spans="1:26" s="68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352180.46</v>
      </c>
      <c r="E37" s="2"/>
      <c r="F37" s="6">
        <f t="shared" si="4"/>
        <v>0.21914907669586647</v>
      </c>
      <c r="G37" s="2"/>
      <c r="H37" s="2">
        <f>SUM(OSRRefH22_1x_0)</f>
        <v>122628.34999999999</v>
      </c>
      <c r="I37" s="2"/>
      <c r="J37" s="6">
        <f t="shared" si="5"/>
        <v>0.91089982856609297</v>
      </c>
      <c r="K37" s="2"/>
      <c r="L37" s="2">
        <f t="shared" si="6"/>
        <v>229552.11000000004</v>
      </c>
      <c r="M37" s="2"/>
      <c r="N37" s="6">
        <f t="shared" si="7"/>
        <v>1.8719334476897069</v>
      </c>
      <c r="O37" s="14"/>
      <c r="P37" s="2">
        <f>SUM(OSRRefP22_1x_0)</f>
        <v>2312835.5900000003</v>
      </c>
      <c r="Q37" s="2"/>
      <c r="R37" s="6">
        <f t="shared" si="8"/>
        <v>0.26782093528806294</v>
      </c>
      <c r="S37" s="2"/>
      <c r="T37" s="2">
        <f>SUM(OSRRefT22_1x_0)</f>
        <v>1078821.5399999998</v>
      </c>
      <c r="U37" s="2"/>
      <c r="V37" s="6">
        <f t="shared" si="9"/>
        <v>0.99369947425062688</v>
      </c>
      <c r="W37" s="2"/>
      <c r="X37" s="2">
        <f t="shared" si="10"/>
        <v>1234014.0500000005</v>
      </c>
      <c r="Y37" s="2"/>
      <c r="Z37" s="6">
        <f t="shared" si="11"/>
        <v>1.143853736921123</v>
      </c>
    </row>
    <row r="38" spans="1:26" s="69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>
        <v>20254.38</v>
      </c>
      <c r="E38" s="3"/>
      <c r="F38" s="7">
        <f t="shared" si="4"/>
        <v>1.2603563173400433E-2</v>
      </c>
      <c r="G38" s="3"/>
      <c r="H38" s="8">
        <v>19625.36</v>
      </c>
      <c r="I38" s="3"/>
      <c r="J38" s="7">
        <f t="shared" si="5"/>
        <v>0.14577980588948528</v>
      </c>
      <c r="K38" s="3"/>
      <c r="L38" s="8">
        <f t="shared" si="6"/>
        <v>629.02000000000044</v>
      </c>
      <c r="M38" s="3"/>
      <c r="N38" s="7">
        <f t="shared" si="7"/>
        <v>3.2051386573290909E-2</v>
      </c>
      <c r="O38" s="12"/>
      <c r="P38" s="8">
        <v>164043.74</v>
      </c>
      <c r="Q38" s="3"/>
      <c r="R38" s="7">
        <f t="shared" si="8"/>
        <v>1.8995880236758123E-2</v>
      </c>
      <c r="S38" s="3"/>
      <c r="T38" s="8">
        <v>160352.26</v>
      </c>
      <c r="U38" s="3"/>
      <c r="V38" s="7">
        <f t="shared" si="9"/>
        <v>0.14770001390304077</v>
      </c>
      <c r="W38" s="3"/>
      <c r="X38" s="8">
        <f t="shared" si="10"/>
        <v>3691.4799999999814</v>
      </c>
      <c r="Y38" s="3"/>
      <c r="Z38" s="7">
        <f t="shared" si="11"/>
        <v>2.3021066245028171E-2</v>
      </c>
    </row>
    <row r="39" spans="1:26" s="69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54595.5</v>
      </c>
      <c r="E39" s="3"/>
      <c r="F39" s="7">
        <f t="shared" si="4"/>
        <v>3.3972791723734977E-2</v>
      </c>
      <c r="G39" s="3"/>
      <c r="H39" s="8">
        <v>42770.74</v>
      </c>
      <c r="I39" s="3"/>
      <c r="J39" s="7">
        <f t="shared" si="5"/>
        <v>0.31770679238238902</v>
      </c>
      <c r="K39" s="3"/>
      <c r="L39" s="8">
        <f t="shared" si="6"/>
        <v>11824.760000000002</v>
      </c>
      <c r="M39" s="3"/>
      <c r="N39" s="7">
        <f t="shared" si="7"/>
        <v>0.27646844548399213</v>
      </c>
      <c r="O39" s="12"/>
      <c r="P39" s="8">
        <v>477933.98</v>
      </c>
      <c r="Q39" s="3"/>
      <c r="R39" s="7">
        <f t="shared" si="8"/>
        <v>5.5343633625746111E-2</v>
      </c>
      <c r="S39" s="3"/>
      <c r="T39" s="8">
        <v>352277.27</v>
      </c>
      <c r="U39" s="3"/>
      <c r="V39" s="7">
        <f t="shared" si="9"/>
        <v>0.32448159867983933</v>
      </c>
      <c r="W39" s="3"/>
      <c r="X39" s="8">
        <f t="shared" si="10"/>
        <v>125656.70999999996</v>
      </c>
      <c r="Y39" s="3"/>
      <c r="Z39" s="7">
        <f t="shared" si="11"/>
        <v>0.35669831891225895</v>
      </c>
    </row>
    <row r="40" spans="1:26" s="69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>
        <v>114347.52</v>
      </c>
      <c r="E40" s="3"/>
      <c r="F40" s="7">
        <f t="shared" si="4"/>
        <v>7.115429808474362E-2</v>
      </c>
      <c r="G40" s="3"/>
      <c r="H40" s="8">
        <v>39445.699999999997</v>
      </c>
      <c r="I40" s="3"/>
      <c r="J40" s="7">
        <f t="shared" si="5"/>
        <v>0.29300794936627245</v>
      </c>
      <c r="K40" s="3"/>
      <c r="L40" s="8">
        <f t="shared" si="6"/>
        <v>74901.820000000007</v>
      </c>
      <c r="M40" s="3"/>
      <c r="N40" s="7">
        <f t="shared" si="7"/>
        <v>1.8988589377295881</v>
      </c>
      <c r="O40" s="12"/>
      <c r="P40" s="8">
        <v>692735.18</v>
      </c>
      <c r="Q40" s="3"/>
      <c r="R40" s="7">
        <f t="shared" si="8"/>
        <v>8.0217108650833507E-2</v>
      </c>
      <c r="S40" s="3"/>
      <c r="T40" s="8">
        <v>373828.47</v>
      </c>
      <c r="U40" s="3"/>
      <c r="V40" s="7">
        <f t="shared" si="9"/>
        <v>0.34433234814621544</v>
      </c>
      <c r="W40" s="3"/>
      <c r="X40" s="8">
        <f t="shared" si="10"/>
        <v>318906.71000000008</v>
      </c>
      <c r="Y40" s="3"/>
      <c r="Z40" s="7">
        <f t="shared" si="11"/>
        <v>0.85308299284963529</v>
      </c>
    </row>
    <row r="41" spans="1:26" s="69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>
        <v>54284.05</v>
      </c>
      <c r="E41" s="3"/>
      <c r="F41" s="7">
        <f t="shared" si="4"/>
        <v>3.3778987729223393E-2</v>
      </c>
      <c r="G41" s="3"/>
      <c r="H41" s="8">
        <v>9662.36</v>
      </c>
      <c r="I41" s="3"/>
      <c r="J41" s="7">
        <f t="shared" si="5"/>
        <v>7.1773305826457551E-2</v>
      </c>
      <c r="K41" s="3"/>
      <c r="L41" s="8">
        <f t="shared" si="6"/>
        <v>44621.69</v>
      </c>
      <c r="M41" s="3"/>
      <c r="N41" s="7">
        <f t="shared" si="7"/>
        <v>4.6180943372012635</v>
      </c>
      <c r="O41" s="12"/>
      <c r="P41" s="8">
        <v>386712.71</v>
      </c>
      <c r="Q41" s="3"/>
      <c r="R41" s="7">
        <f t="shared" si="8"/>
        <v>4.4780424569643297E-2</v>
      </c>
      <c r="S41" s="3"/>
      <c r="T41" s="8">
        <v>83142.75</v>
      </c>
      <c r="U41" s="3"/>
      <c r="V41" s="7">
        <f t="shared" si="9"/>
        <v>7.6582552256744263E-2</v>
      </c>
      <c r="W41" s="3"/>
      <c r="X41" s="8">
        <f t="shared" si="10"/>
        <v>303569.96000000002</v>
      </c>
      <c r="Y41" s="3"/>
      <c r="Z41" s="7">
        <f t="shared" si="11"/>
        <v>3.6511897910521367</v>
      </c>
    </row>
    <row r="42" spans="1:26" s="69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8">
        <v>644.6</v>
      </c>
      <c r="E42" s="3"/>
      <c r="F42" s="7">
        <f t="shared" si="4"/>
        <v>4.0111110888479029E-4</v>
      </c>
      <c r="G42" s="3"/>
      <c r="H42" s="8">
        <v>609</v>
      </c>
      <c r="I42" s="3"/>
      <c r="J42" s="7">
        <f t="shared" si="5"/>
        <v>4.5237336684115104E-3</v>
      </c>
      <c r="K42" s="3"/>
      <c r="L42" s="8">
        <f t="shared" si="6"/>
        <v>35.600000000000023</v>
      </c>
      <c r="M42" s="3"/>
      <c r="N42" s="7">
        <f t="shared" si="7"/>
        <v>5.8456486042692976E-2</v>
      </c>
      <c r="O42" s="12"/>
      <c r="P42" s="8">
        <v>644.6</v>
      </c>
      <c r="Q42" s="3"/>
      <c r="R42" s="7">
        <f t="shared" si="8"/>
        <v>7.4643167734497444E-5</v>
      </c>
      <c r="S42" s="3"/>
      <c r="T42" s="8">
        <v>609</v>
      </c>
      <c r="U42" s="3"/>
      <c r="V42" s="7">
        <f t="shared" si="9"/>
        <v>5.6094818038081805E-4</v>
      </c>
      <c r="W42" s="3"/>
      <c r="X42" s="8">
        <f t="shared" si="10"/>
        <v>35.600000000000023</v>
      </c>
      <c r="Y42" s="3"/>
      <c r="Z42" s="7">
        <f t="shared" si="11"/>
        <v>5.8456486042692976E-2</v>
      </c>
    </row>
    <row r="43" spans="1:26" s="69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8">
        <v>56974.9</v>
      </c>
      <c r="E43" s="3"/>
      <c r="F43" s="7">
        <f t="shared" si="4"/>
        <v>3.5453405705243621E-2</v>
      </c>
      <c r="G43" s="3"/>
      <c r="H43" s="8">
        <v>10515.19</v>
      </c>
      <c r="I43" s="3"/>
      <c r="J43" s="7">
        <f t="shared" si="5"/>
        <v>7.8108241433077236E-2</v>
      </c>
      <c r="K43" s="3"/>
      <c r="L43" s="8">
        <f t="shared" si="6"/>
        <v>46459.71</v>
      </c>
      <c r="M43" s="3"/>
      <c r="N43" s="7">
        <f t="shared" si="7"/>
        <v>4.4183424170176666</v>
      </c>
      <c r="O43" s="12"/>
      <c r="P43" s="8">
        <v>455544.53</v>
      </c>
      <c r="Q43" s="3"/>
      <c r="R43" s="7">
        <f t="shared" si="8"/>
        <v>5.2750987842573385E-2</v>
      </c>
      <c r="S43" s="3"/>
      <c r="T43" s="8">
        <v>97980.91</v>
      </c>
      <c r="U43" s="3"/>
      <c r="V43" s="7">
        <f t="shared" si="9"/>
        <v>9.0249939534575857E-2</v>
      </c>
      <c r="W43" s="3"/>
      <c r="X43" s="8">
        <f t="shared" si="10"/>
        <v>357563.62</v>
      </c>
      <c r="Y43" s="3"/>
      <c r="Z43" s="7">
        <f t="shared" si="11"/>
        <v>3.649319239839679</v>
      </c>
    </row>
    <row r="44" spans="1:26" s="69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8">
        <v>51079.51</v>
      </c>
      <c r="E44" s="3"/>
      <c r="F44" s="7">
        <f t="shared" si="4"/>
        <v>3.1784919170635639E-2</v>
      </c>
      <c r="G44" s="3"/>
      <c r="H44" s="8"/>
      <c r="I44" s="3"/>
      <c r="J44" s="7">
        <f t="shared" si="5"/>
        <v>0</v>
      </c>
      <c r="K44" s="3"/>
      <c r="L44" s="8">
        <f t="shared" si="6"/>
        <v>51079.51</v>
      </c>
      <c r="M44" s="3"/>
      <c r="N44" s="7">
        <f t="shared" si="7"/>
        <v>0</v>
      </c>
      <c r="O44" s="12"/>
      <c r="P44" s="8">
        <v>135220.85</v>
      </c>
      <c r="Q44" s="3"/>
      <c r="R44" s="7">
        <f t="shared" si="8"/>
        <v>1.5658257194773997E-2</v>
      </c>
      <c r="S44" s="3"/>
      <c r="T44" s="8">
        <v>10630.88</v>
      </c>
      <c r="U44" s="3"/>
      <c r="V44" s="7">
        <f t="shared" si="9"/>
        <v>9.7920735498305909E-3</v>
      </c>
      <c r="W44" s="3"/>
      <c r="X44" s="8">
        <f t="shared" si="10"/>
        <v>124589.97</v>
      </c>
      <c r="Y44" s="3"/>
      <c r="Z44" s="7">
        <f t="shared" si="11"/>
        <v>11.719629042939061</v>
      </c>
    </row>
    <row r="45" spans="1:26" s="68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153.55000000000001</v>
      </c>
      <c r="E45" s="2"/>
      <c r="F45" s="6">
        <f t="shared" si="4"/>
        <v>9.554857395169028E-5</v>
      </c>
      <c r="G45" s="2"/>
      <c r="H45" s="2">
        <f>SUM(OSRRefH22_2x_0)</f>
        <v>78.48</v>
      </c>
      <c r="I45" s="2"/>
      <c r="J45" s="6">
        <f t="shared" si="5"/>
        <v>5.8295996436278383E-4</v>
      </c>
      <c r="K45" s="2"/>
      <c r="L45" s="2">
        <f t="shared" si="6"/>
        <v>75.070000000000007</v>
      </c>
      <c r="M45" s="2"/>
      <c r="N45" s="6">
        <f t="shared" si="7"/>
        <v>0.9565494393476045</v>
      </c>
      <c r="O45" s="14"/>
      <c r="P45" s="2">
        <f>SUM(OSRRefP22_2x_0)</f>
        <v>4749.91</v>
      </c>
      <c r="Q45" s="2"/>
      <c r="R45" s="6">
        <f t="shared" si="8"/>
        <v>5.5002843446131983E-4</v>
      </c>
      <c r="S45" s="2"/>
      <c r="T45" s="2">
        <f>SUM(OSRRefT22_2x_0)</f>
        <v>1663</v>
      </c>
      <c r="U45" s="2"/>
      <c r="V45" s="6">
        <f t="shared" si="9"/>
        <v>1.5317846042254522E-3</v>
      </c>
      <c r="W45" s="2"/>
      <c r="X45" s="2">
        <f t="shared" si="10"/>
        <v>3086.91</v>
      </c>
      <c r="Y45" s="2"/>
      <c r="Z45" s="6">
        <f t="shared" si="11"/>
        <v>1.8562297053517738</v>
      </c>
    </row>
    <row r="46" spans="1:26" s="69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8">
        <v>153.55000000000001</v>
      </c>
      <c r="E46" s="3"/>
      <c r="F46" s="7">
        <f t="shared" si="4"/>
        <v>9.554857395169028E-5</v>
      </c>
      <c r="G46" s="3"/>
      <c r="H46" s="8">
        <v>78.48</v>
      </c>
      <c r="I46" s="3"/>
      <c r="J46" s="7">
        <f t="shared" si="5"/>
        <v>5.8295996436278383E-4</v>
      </c>
      <c r="K46" s="3"/>
      <c r="L46" s="8">
        <f t="shared" si="6"/>
        <v>75.070000000000007</v>
      </c>
      <c r="M46" s="3"/>
      <c r="N46" s="7">
        <f t="shared" si="7"/>
        <v>0.9565494393476045</v>
      </c>
      <c r="O46" s="12"/>
      <c r="P46" s="8">
        <v>4749.91</v>
      </c>
      <c r="Q46" s="3"/>
      <c r="R46" s="7">
        <f t="shared" si="8"/>
        <v>5.5002843446131983E-4</v>
      </c>
      <c r="S46" s="3"/>
      <c r="T46" s="8">
        <v>1663</v>
      </c>
      <c r="U46" s="3"/>
      <c r="V46" s="7">
        <f t="shared" si="9"/>
        <v>1.5317846042254522E-3</v>
      </c>
      <c r="W46" s="3"/>
      <c r="X46" s="8">
        <f t="shared" si="10"/>
        <v>3086.91</v>
      </c>
      <c r="Y46" s="3"/>
      <c r="Z46" s="7">
        <f t="shared" si="11"/>
        <v>1.8562297053517738</v>
      </c>
    </row>
    <row r="47" spans="1:26" s="68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-8.5399999999999991</v>
      </c>
      <c r="E47" s="2"/>
      <c r="F47" s="6">
        <f t="shared" si="4"/>
        <v>-5.3141310423147822E-6</v>
      </c>
      <c r="G47" s="2"/>
      <c r="H47" s="2">
        <f>SUM(OSRRefH22_3x_0)</f>
        <v>-16.2</v>
      </c>
      <c r="I47" s="2"/>
      <c r="J47" s="6">
        <f t="shared" si="5"/>
        <v>-1.2033577246020766E-4</v>
      </c>
      <c r="K47" s="2"/>
      <c r="L47" s="2">
        <f t="shared" si="6"/>
        <v>7.66</v>
      </c>
      <c r="M47" s="2"/>
      <c r="N47" s="6">
        <f t="shared" si="7"/>
        <v>-0.47283950617283954</v>
      </c>
      <c r="O47" s="14"/>
      <c r="P47" s="2">
        <f>SUM(OSRRefP22_3x_0)</f>
        <v>-97.29</v>
      </c>
      <c r="Q47" s="2"/>
      <c r="R47" s="6">
        <f t="shared" si="8"/>
        <v>-1.1265953752543061E-5</v>
      </c>
      <c r="S47" s="2"/>
      <c r="T47" s="2">
        <f>SUM(OSRRefT22_3x_0)</f>
        <v>62.33</v>
      </c>
      <c r="U47" s="2"/>
      <c r="V47" s="6">
        <f t="shared" si="9"/>
        <v>5.7411987000223952E-5</v>
      </c>
      <c r="W47" s="2"/>
      <c r="X47" s="2">
        <f t="shared" si="10"/>
        <v>-159.62</v>
      </c>
      <c r="Y47" s="2"/>
      <c r="Z47" s="6">
        <f t="shared" si="11"/>
        <v>-2.5608856088560885</v>
      </c>
    </row>
    <row r="48" spans="1:26" s="69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8">
        <v>-8.5399999999999991</v>
      </c>
      <c r="E48" s="3"/>
      <c r="F48" s="7">
        <f t="shared" si="4"/>
        <v>-5.3141310423147822E-6</v>
      </c>
      <c r="G48" s="3"/>
      <c r="H48" s="8">
        <v>-16.2</v>
      </c>
      <c r="I48" s="3"/>
      <c r="J48" s="7">
        <f t="shared" si="5"/>
        <v>-1.2033577246020766E-4</v>
      </c>
      <c r="K48" s="3"/>
      <c r="L48" s="8">
        <f t="shared" si="6"/>
        <v>7.66</v>
      </c>
      <c r="M48" s="3"/>
      <c r="N48" s="7">
        <f t="shared" si="7"/>
        <v>-0.47283950617283954</v>
      </c>
      <c r="O48" s="12"/>
      <c r="P48" s="8">
        <v>-97.29</v>
      </c>
      <c r="Q48" s="3"/>
      <c r="R48" s="7">
        <f t="shared" si="8"/>
        <v>-1.1265953752543061E-5</v>
      </c>
      <c r="S48" s="3"/>
      <c r="T48" s="8">
        <v>62.33</v>
      </c>
      <c r="U48" s="3"/>
      <c r="V48" s="7">
        <f t="shared" si="9"/>
        <v>5.7411987000223952E-5</v>
      </c>
      <c r="W48" s="3"/>
      <c r="X48" s="8">
        <f t="shared" si="10"/>
        <v>-159.62</v>
      </c>
      <c r="Y48" s="3"/>
      <c r="Z48" s="7">
        <f t="shared" si="11"/>
        <v>-2.5608856088560885</v>
      </c>
    </row>
    <row r="49" spans="1:26" s="68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6456.22</v>
      </c>
      <c r="E49" s="2"/>
      <c r="F49" s="6">
        <f t="shared" si="4"/>
        <v>4.0174706227182142E-3</v>
      </c>
      <c r="G49" s="2"/>
      <c r="H49" s="2">
        <f>SUM(OSRRefH22_4x_0)</f>
        <v>859.46</v>
      </c>
      <c r="I49" s="2"/>
      <c r="J49" s="6">
        <f t="shared" si="5"/>
        <v>6.3841841357191419E-3</v>
      </c>
      <c r="K49" s="2"/>
      <c r="L49" s="2">
        <f t="shared" si="6"/>
        <v>5596.76</v>
      </c>
      <c r="M49" s="2"/>
      <c r="N49" s="6">
        <f t="shared" si="7"/>
        <v>6.5119493635538594</v>
      </c>
      <c r="O49" s="14"/>
      <c r="P49" s="2">
        <f>SUM(OSRRefP22_4x_0)</f>
        <v>30454.85</v>
      </c>
      <c r="Q49" s="2"/>
      <c r="R49" s="6">
        <f t="shared" si="8"/>
        <v>3.5266001813201355E-3</v>
      </c>
      <c r="S49" s="2"/>
      <c r="T49" s="2">
        <f>SUM(OSRRefT22_4x_0)</f>
        <v>4897.3100000000004</v>
      </c>
      <c r="U49" s="2"/>
      <c r="V49" s="6">
        <f t="shared" si="9"/>
        <v>4.5108984125792843E-3</v>
      </c>
      <c r="W49" s="2"/>
      <c r="X49" s="2">
        <f t="shared" si="10"/>
        <v>25557.539999999997</v>
      </c>
      <c r="Y49" s="2"/>
      <c r="Z49" s="6">
        <f t="shared" si="11"/>
        <v>5.2186894437966957</v>
      </c>
    </row>
    <row r="50" spans="1:26" s="69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8">
        <v>6456.22</v>
      </c>
      <c r="E50" s="3"/>
      <c r="F50" s="7">
        <f t="shared" si="4"/>
        <v>4.0174706227182142E-3</v>
      </c>
      <c r="G50" s="3"/>
      <c r="H50" s="8">
        <v>859.46</v>
      </c>
      <c r="I50" s="3"/>
      <c r="J50" s="7">
        <f t="shared" si="5"/>
        <v>6.3841841357191419E-3</v>
      </c>
      <c r="K50" s="3"/>
      <c r="L50" s="8">
        <f t="shared" si="6"/>
        <v>5596.76</v>
      </c>
      <c r="M50" s="3"/>
      <c r="N50" s="7">
        <f t="shared" si="7"/>
        <v>6.5119493635538594</v>
      </c>
      <c r="O50" s="12"/>
      <c r="P50" s="8">
        <v>30454.85</v>
      </c>
      <c r="Q50" s="3"/>
      <c r="R50" s="7">
        <f t="shared" si="8"/>
        <v>3.5266001813201355E-3</v>
      </c>
      <c r="S50" s="3"/>
      <c r="T50" s="8">
        <v>4897.3100000000004</v>
      </c>
      <c r="U50" s="3"/>
      <c r="V50" s="7">
        <f t="shared" si="9"/>
        <v>4.5108984125792843E-3</v>
      </c>
      <c r="W50" s="3"/>
      <c r="X50" s="8">
        <f t="shared" si="10"/>
        <v>25557.539999999997</v>
      </c>
      <c r="Y50" s="3"/>
      <c r="Z50" s="7">
        <f t="shared" si="11"/>
        <v>5.2186894437966957</v>
      </c>
    </row>
    <row r="51" spans="1:26" s="68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33542.080000000002</v>
      </c>
      <c r="E51" s="2"/>
      <c r="F51" s="6">
        <f t="shared" si="4"/>
        <v>2.0872015052904664E-2</v>
      </c>
      <c r="G51" s="2"/>
      <c r="H51" s="2">
        <f>SUM(OSRRefH22_5x_0)</f>
        <v>37479.26</v>
      </c>
      <c r="I51" s="2"/>
      <c r="J51" s="6">
        <f t="shared" si="5"/>
        <v>0.27840096934178787</v>
      </c>
      <c r="K51" s="2"/>
      <c r="L51" s="2">
        <f t="shared" si="6"/>
        <v>-3937.1800000000003</v>
      </c>
      <c r="M51" s="2"/>
      <c r="N51" s="6">
        <f t="shared" si="7"/>
        <v>-0.10504956608001333</v>
      </c>
      <c r="O51" s="14"/>
      <c r="P51" s="2">
        <f>SUM(OSRRefP22_5x_0)</f>
        <v>268424.78000000003</v>
      </c>
      <c r="Q51" s="2"/>
      <c r="R51" s="6">
        <f t="shared" si="8"/>
        <v>3.1082959785348398E-2</v>
      </c>
      <c r="S51" s="2"/>
      <c r="T51" s="2">
        <f>SUM(OSRRefT22_5x_0)</f>
        <v>302129.15999999997</v>
      </c>
      <c r="U51" s="2"/>
      <c r="V51" s="6">
        <f t="shared" si="9"/>
        <v>0.27829031616089495</v>
      </c>
      <c r="W51" s="2"/>
      <c r="X51" s="2">
        <f t="shared" si="10"/>
        <v>-33704.379999999946</v>
      </c>
      <c r="Y51" s="2"/>
      <c r="Z51" s="6">
        <f t="shared" si="11"/>
        <v>-0.11155619669415541</v>
      </c>
    </row>
    <row r="52" spans="1:26" s="69" customFormat="1" ht="15" hidden="1" customHeight="1" outlineLevel="2" x14ac:dyDescent="0.3">
      <c r="A52" s="26"/>
      <c r="B52" s="12" t="str">
        <f>CONCATENATE("          ","6321"," - ","BUILDING DEPRECIATION")</f>
        <v xml:space="preserve">          6321 - BUILDING DEPRECIATION</v>
      </c>
      <c r="C52" s="12"/>
      <c r="D52" s="8">
        <v>23539.4</v>
      </c>
      <c r="E52" s="3"/>
      <c r="F52" s="7">
        <f t="shared" si="4"/>
        <v>1.4647711505557916E-2</v>
      </c>
      <c r="G52" s="3"/>
      <c r="H52" s="8">
        <v>23583.49</v>
      </c>
      <c r="I52" s="3"/>
      <c r="J52" s="7">
        <f t="shared" si="5"/>
        <v>0.17518132632454217</v>
      </c>
      <c r="K52" s="3"/>
      <c r="L52" s="8">
        <f t="shared" si="6"/>
        <v>-44.090000000000146</v>
      </c>
      <c r="M52" s="3"/>
      <c r="N52" s="7">
        <f t="shared" si="7"/>
        <v>-1.8695282165616769E-3</v>
      </c>
      <c r="O52" s="12"/>
      <c r="P52" s="8">
        <v>188403.34</v>
      </c>
      <c r="Q52" s="3"/>
      <c r="R52" s="7">
        <f t="shared" si="8"/>
        <v>2.1816664767855338E-2</v>
      </c>
      <c r="S52" s="3"/>
      <c r="T52" s="8">
        <v>189452.11</v>
      </c>
      <c r="U52" s="3"/>
      <c r="V52" s="7">
        <f t="shared" si="9"/>
        <v>0.17450380356946893</v>
      </c>
      <c r="W52" s="3"/>
      <c r="X52" s="8">
        <f t="shared" si="10"/>
        <v>-1048.7699999999895</v>
      </c>
      <c r="Y52" s="3"/>
      <c r="Z52" s="7">
        <f t="shared" si="11"/>
        <v>-5.53580532832276E-3</v>
      </c>
    </row>
    <row r="53" spans="1:26" s="69" customFormat="1" ht="15" hidden="1" customHeight="1" outlineLevel="2" x14ac:dyDescent="0.3">
      <c r="A53" s="26"/>
      <c r="B53" s="12" t="str">
        <f>CONCATENATE("          ","6322"," - ","EQUIPMENT DEPRECIATION EXPENSE")</f>
        <v xml:space="preserve">          6322 - EQUIPMENT DEPRECIATION EXPENSE</v>
      </c>
      <c r="C53" s="12"/>
      <c r="D53" s="8">
        <v>10002.68</v>
      </c>
      <c r="E53" s="3"/>
      <c r="F53" s="7">
        <f t="shared" si="4"/>
        <v>6.2243035473467483E-3</v>
      </c>
      <c r="G53" s="3"/>
      <c r="H53" s="8">
        <v>13895.77</v>
      </c>
      <c r="I53" s="3"/>
      <c r="J53" s="7">
        <f t="shared" si="5"/>
        <v>0.10321964301724568</v>
      </c>
      <c r="K53" s="3"/>
      <c r="L53" s="8">
        <f t="shared" si="6"/>
        <v>-3893.09</v>
      </c>
      <c r="M53" s="3"/>
      <c r="N53" s="7">
        <f t="shared" si="7"/>
        <v>-0.28016367570850698</v>
      </c>
      <c r="O53" s="12"/>
      <c r="P53" s="8">
        <v>80021.440000000002</v>
      </c>
      <c r="Q53" s="3"/>
      <c r="R53" s="7">
        <f t="shared" si="8"/>
        <v>9.2662950174930547E-3</v>
      </c>
      <c r="S53" s="3"/>
      <c r="T53" s="8">
        <v>112677.05</v>
      </c>
      <c r="U53" s="3"/>
      <c r="V53" s="7">
        <f t="shared" si="9"/>
        <v>0.10378651259142603</v>
      </c>
      <c r="W53" s="3"/>
      <c r="X53" s="8">
        <f t="shared" si="10"/>
        <v>-32655.61</v>
      </c>
      <c r="Y53" s="3"/>
      <c r="Z53" s="7">
        <f t="shared" si="11"/>
        <v>-0.28981598293530048</v>
      </c>
    </row>
    <row r="54" spans="1:26" s="68" customFormat="1" ht="15" customHeight="1" outlineLevel="1" collapsed="1" x14ac:dyDescent="0.3">
      <c r="A54" s="25"/>
      <c r="B54" s="14" t="str">
        <f>CONCATENATE("     ","Donations                                         ")</f>
        <v xml:space="preserve">     Donations                                         </v>
      </c>
      <c r="C54" s="14"/>
      <c r="D54" s="2">
        <f>SUM(OSRRefD22_6x_0)</f>
        <v>8683.56</v>
      </c>
      <c r="E54" s="2"/>
      <c r="F54" s="6">
        <f t="shared" si="4"/>
        <v>5.4034632030214233E-3</v>
      </c>
      <c r="G54" s="2"/>
      <c r="H54" s="2">
        <f>SUM(OSRRefH22_6x_0)</f>
        <v>5361.28</v>
      </c>
      <c r="I54" s="2"/>
      <c r="J54" s="6">
        <f t="shared" si="5"/>
        <v>3.9824306800954452E-2</v>
      </c>
      <c r="K54" s="2"/>
      <c r="L54" s="2">
        <f t="shared" si="6"/>
        <v>3322.2799999999997</v>
      </c>
      <c r="M54" s="2"/>
      <c r="N54" s="6">
        <f t="shared" si="7"/>
        <v>0.61968037483586003</v>
      </c>
      <c r="O54" s="14"/>
      <c r="P54" s="2">
        <f>SUM(OSRRefP22_6x_0)</f>
        <v>49310.21</v>
      </c>
      <c r="Q54" s="2"/>
      <c r="R54" s="6">
        <f t="shared" si="8"/>
        <v>5.7100066336538829E-3</v>
      </c>
      <c r="S54" s="2"/>
      <c r="T54" s="2">
        <f>SUM(OSRRefT22_6x_0)</f>
        <v>43642.43</v>
      </c>
      <c r="U54" s="2"/>
      <c r="V54" s="6">
        <f t="shared" si="9"/>
        <v>4.0198919040882145E-2</v>
      </c>
      <c r="W54" s="2"/>
      <c r="X54" s="2">
        <f t="shared" si="10"/>
        <v>5667.7799999999988</v>
      </c>
      <c r="Y54" s="2"/>
      <c r="Z54" s="6">
        <f t="shared" si="11"/>
        <v>0.12986857056309647</v>
      </c>
    </row>
    <row r="55" spans="1:26" s="69" customFormat="1" ht="15" hidden="1" customHeight="1" outlineLevel="2" x14ac:dyDescent="0.3">
      <c r="A55" s="26"/>
      <c r="B55" s="12" t="str">
        <f>CONCATENATE("          ","6399"," - ","DONATION-ON CAMPUS")</f>
        <v xml:space="preserve">          6399 - DONATION-ON CAMPUS</v>
      </c>
      <c r="C55" s="12"/>
      <c r="D55" s="8">
        <v>8683.56</v>
      </c>
      <c r="E55" s="3"/>
      <c r="F55" s="7">
        <f t="shared" si="4"/>
        <v>5.4034632030214233E-3</v>
      </c>
      <c r="G55" s="3"/>
      <c r="H55" s="8">
        <v>5361.28</v>
      </c>
      <c r="I55" s="3"/>
      <c r="J55" s="7">
        <f t="shared" si="5"/>
        <v>3.9824306800954452E-2</v>
      </c>
      <c r="K55" s="3"/>
      <c r="L55" s="8">
        <f t="shared" si="6"/>
        <v>3322.2799999999997</v>
      </c>
      <c r="M55" s="3"/>
      <c r="N55" s="7">
        <f t="shared" si="7"/>
        <v>0.61968037483586003</v>
      </c>
      <c r="O55" s="12"/>
      <c r="P55" s="8">
        <v>49310.21</v>
      </c>
      <c r="Q55" s="3"/>
      <c r="R55" s="7">
        <f t="shared" si="8"/>
        <v>5.7100066336538829E-3</v>
      </c>
      <c r="S55" s="3"/>
      <c r="T55" s="8">
        <v>43642.43</v>
      </c>
      <c r="U55" s="3"/>
      <c r="V55" s="7">
        <f t="shared" si="9"/>
        <v>4.0198919040882145E-2</v>
      </c>
      <c r="W55" s="3"/>
      <c r="X55" s="8">
        <f t="shared" si="10"/>
        <v>5667.7799999999988</v>
      </c>
      <c r="Y55" s="3"/>
      <c r="Z55" s="7">
        <f t="shared" si="11"/>
        <v>0.12986857056309647</v>
      </c>
    </row>
    <row r="56" spans="1:26" s="68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SUM(OSRRefD22_7x_0)</f>
        <v>87.37</v>
      </c>
      <c r="E56" s="2"/>
      <c r="F56" s="6">
        <f t="shared" si="4"/>
        <v>5.4367169691691169E-5</v>
      </c>
      <c r="G56" s="2"/>
      <c r="H56" s="2">
        <f>SUM(OSRRefH22_7x_0)</f>
        <v>0</v>
      </c>
      <c r="I56" s="2"/>
      <c r="J56" s="6">
        <f t="shared" si="5"/>
        <v>0</v>
      </c>
      <c r="K56" s="2"/>
      <c r="L56" s="2">
        <f t="shared" si="6"/>
        <v>87.37</v>
      </c>
      <c r="M56" s="2"/>
      <c r="N56" s="6">
        <f t="shared" si="7"/>
        <v>0</v>
      </c>
      <c r="O56" s="14"/>
      <c r="P56" s="2">
        <f>SUM(OSRRefP22_7x_0)</f>
        <v>640.58000000000004</v>
      </c>
      <c r="Q56" s="2"/>
      <c r="R56" s="6">
        <f t="shared" si="8"/>
        <v>7.4177661165628883E-5</v>
      </c>
      <c r="S56" s="2"/>
      <c r="T56" s="2">
        <f>SUM(OSRRefT22_7x_0)</f>
        <v>10</v>
      </c>
      <c r="U56" s="2"/>
      <c r="V56" s="6">
        <f t="shared" si="9"/>
        <v>9.2109717632318233E-6</v>
      </c>
      <c r="W56" s="2"/>
      <c r="X56" s="2">
        <f t="shared" si="10"/>
        <v>630.58000000000004</v>
      </c>
      <c r="Y56" s="2"/>
      <c r="Z56" s="6">
        <f t="shared" si="11"/>
        <v>63.058000000000007</v>
      </c>
    </row>
    <row r="57" spans="1:26" s="69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8">
        <v>87.37</v>
      </c>
      <c r="E57" s="3"/>
      <c r="F57" s="7">
        <f t="shared" si="4"/>
        <v>5.4367169691691169E-5</v>
      </c>
      <c r="G57" s="3"/>
      <c r="H57" s="8"/>
      <c r="I57" s="3"/>
      <c r="J57" s="7">
        <f t="shared" si="5"/>
        <v>0</v>
      </c>
      <c r="K57" s="3"/>
      <c r="L57" s="8">
        <f t="shared" si="6"/>
        <v>87.37</v>
      </c>
      <c r="M57" s="3"/>
      <c r="N57" s="7">
        <f t="shared" si="7"/>
        <v>0</v>
      </c>
      <c r="O57" s="12"/>
      <c r="P57" s="8">
        <v>640.58000000000004</v>
      </c>
      <c r="Q57" s="3"/>
      <c r="R57" s="7">
        <f t="shared" si="8"/>
        <v>7.4177661165628883E-5</v>
      </c>
      <c r="S57" s="3"/>
      <c r="T57" s="8">
        <v>10</v>
      </c>
      <c r="U57" s="3"/>
      <c r="V57" s="7">
        <f t="shared" si="9"/>
        <v>9.2109717632318233E-6</v>
      </c>
      <c r="W57" s="3"/>
      <c r="X57" s="8">
        <f t="shared" si="10"/>
        <v>630.58000000000004</v>
      </c>
      <c r="Y57" s="3"/>
      <c r="Z57" s="7">
        <f t="shared" si="11"/>
        <v>63.058000000000007</v>
      </c>
    </row>
    <row r="58" spans="1:26" s="68" customFormat="1" ht="15" customHeight="1" outlineLevel="1" collapsed="1" x14ac:dyDescent="0.3">
      <c r="A58" s="25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SUM(OSRRefD22_8x_0)</f>
        <v>1535.59</v>
      </c>
      <c r="E58" s="2"/>
      <c r="F58" s="6">
        <f t="shared" ref="F58:F89" si="12">IF(D$12=0,0,D58/D$12)</f>
        <v>9.5554174323983097E-4</v>
      </c>
      <c r="G58" s="2"/>
      <c r="H58" s="2">
        <f>SUM(OSRRefH22_8x_0)</f>
        <v>812.09</v>
      </c>
      <c r="I58" s="2"/>
      <c r="J58" s="6">
        <f t="shared" ref="J58:J89" si="13">IF(H$12=0,0,H58/H$12)</f>
        <v>6.0323134232845715E-3</v>
      </c>
      <c r="K58" s="2"/>
      <c r="L58" s="2">
        <f t="shared" ref="L58:L89" si="14">+D58-H58</f>
        <v>723.49999999999989</v>
      </c>
      <c r="M58" s="2"/>
      <c r="N58" s="6">
        <f t="shared" ref="N58:N89" si="15">IF(H58=0,0,L58/H58)</f>
        <v>0.89091110591190614</v>
      </c>
      <c r="O58" s="14"/>
      <c r="P58" s="2">
        <f>SUM(OSRRefP22_8x_0)</f>
        <v>16519.91</v>
      </c>
      <c r="Q58" s="2"/>
      <c r="R58" s="6">
        <f t="shared" ref="R58:R89" si="16">IF(P$12=0,0,P58/P$12)</f>
        <v>1.9129668214222799E-3</v>
      </c>
      <c r="S58" s="2"/>
      <c r="T58" s="2">
        <f>SUM(OSRRefT22_8x_0)</f>
        <v>8557.99</v>
      </c>
      <c r="U58" s="2"/>
      <c r="V58" s="6">
        <f t="shared" ref="V58:V89" si="17">IF(T$12=0,0,T58/T$12)</f>
        <v>7.8827404240020306E-3</v>
      </c>
      <c r="W58" s="2"/>
      <c r="X58" s="2">
        <f t="shared" ref="X58:X89" si="18">+P58-T58</f>
        <v>7961.92</v>
      </c>
      <c r="Y58" s="2"/>
      <c r="Z58" s="6">
        <f t="shared" ref="Z58:Z89" si="19">IF(T58=0,0,X58/T58)</f>
        <v>0.93034929930976784</v>
      </c>
    </row>
    <row r="59" spans="1:26" s="69" customFormat="1" ht="15" hidden="1" customHeight="1" outlineLevel="2" x14ac:dyDescent="0.3">
      <c r="A59" s="26"/>
      <c r="B59" s="12" t="str">
        <f>CONCATENATE("          ","6351"," - ","EQUIPMENT RENTAL")</f>
        <v xml:space="preserve">          6351 - EQUIPMENT RENTAL</v>
      </c>
      <c r="C59" s="12"/>
      <c r="D59" s="8">
        <v>1535.59</v>
      </c>
      <c r="E59" s="3"/>
      <c r="F59" s="7">
        <f t="shared" si="12"/>
        <v>9.5554174323983097E-4</v>
      </c>
      <c r="G59" s="3"/>
      <c r="H59" s="8">
        <v>812.09</v>
      </c>
      <c r="I59" s="3"/>
      <c r="J59" s="7">
        <f t="shared" si="13"/>
        <v>6.0323134232845715E-3</v>
      </c>
      <c r="K59" s="3"/>
      <c r="L59" s="8">
        <f t="shared" si="14"/>
        <v>723.49999999999989</v>
      </c>
      <c r="M59" s="3"/>
      <c r="N59" s="7">
        <f t="shared" si="15"/>
        <v>0.89091110591190614</v>
      </c>
      <c r="O59" s="12"/>
      <c r="P59" s="8">
        <v>16519.91</v>
      </c>
      <c r="Q59" s="3"/>
      <c r="R59" s="7">
        <f t="shared" si="16"/>
        <v>1.9129668214222799E-3</v>
      </c>
      <c r="S59" s="3"/>
      <c r="T59" s="8">
        <v>8557.99</v>
      </c>
      <c r="U59" s="3"/>
      <c r="V59" s="7">
        <f t="shared" si="17"/>
        <v>7.8827404240020306E-3</v>
      </c>
      <c r="W59" s="3"/>
      <c r="X59" s="8">
        <f t="shared" si="18"/>
        <v>7961.92</v>
      </c>
      <c r="Y59" s="3"/>
      <c r="Z59" s="7">
        <f t="shared" si="19"/>
        <v>0.93034929930976784</v>
      </c>
    </row>
    <row r="60" spans="1:26" s="68" customFormat="1" ht="15" customHeight="1" outlineLevel="1" collapsed="1" x14ac:dyDescent="0.3">
      <c r="A60" s="25"/>
      <c r="B60" s="14" t="str">
        <f>CONCATENATE("     ","Freight out/Postage                               ")</f>
        <v xml:space="preserve">     Freight out/Postage                               </v>
      </c>
      <c r="C60" s="14"/>
      <c r="D60" s="2">
        <f>SUM(OSRRefD22_9x_0)</f>
        <v>0</v>
      </c>
      <c r="E60" s="2"/>
      <c r="F60" s="6">
        <f t="shared" si="12"/>
        <v>0</v>
      </c>
      <c r="G60" s="2"/>
      <c r="H60" s="2">
        <f>SUM(OSRRefH22_9x_0)</f>
        <v>0</v>
      </c>
      <c r="I60" s="2"/>
      <c r="J60" s="6">
        <f t="shared" si="13"/>
        <v>0</v>
      </c>
      <c r="K60" s="2"/>
      <c r="L60" s="2">
        <f t="shared" si="14"/>
        <v>0</v>
      </c>
      <c r="M60" s="2"/>
      <c r="N60" s="6">
        <f t="shared" si="15"/>
        <v>0</v>
      </c>
      <c r="O60" s="14"/>
      <c r="P60" s="2">
        <f>SUM(OSRRefP22_9x_0)</f>
        <v>0</v>
      </c>
      <c r="Q60" s="2"/>
      <c r="R60" s="6">
        <f t="shared" si="16"/>
        <v>0</v>
      </c>
      <c r="S60" s="2"/>
      <c r="T60" s="2">
        <f>SUM(OSRRefT22_9x_0)</f>
        <v>-5.41</v>
      </c>
      <c r="U60" s="2"/>
      <c r="V60" s="6">
        <f t="shared" si="17"/>
        <v>-4.9831357239084164E-6</v>
      </c>
      <c r="W60" s="2"/>
      <c r="X60" s="2">
        <f t="shared" si="18"/>
        <v>5.41</v>
      </c>
      <c r="Y60" s="2"/>
      <c r="Z60" s="6">
        <f t="shared" si="19"/>
        <v>-1</v>
      </c>
    </row>
    <row r="61" spans="1:26" s="69" customFormat="1" ht="15" hidden="1" customHeight="1" outlineLevel="2" x14ac:dyDescent="0.3">
      <c r="A61" s="26"/>
      <c r="B61" s="12" t="str">
        <f>CONCATENATE("          ","6307"," - ","POSTAGE")</f>
        <v xml:space="preserve">          6307 - POSTAGE</v>
      </c>
      <c r="C61" s="12"/>
      <c r="D61" s="8"/>
      <c r="E61" s="3"/>
      <c r="F61" s="7">
        <f t="shared" si="12"/>
        <v>0</v>
      </c>
      <c r="G61" s="3"/>
      <c r="H61" s="8"/>
      <c r="I61" s="3"/>
      <c r="J61" s="7">
        <f t="shared" si="13"/>
        <v>0</v>
      </c>
      <c r="K61" s="3"/>
      <c r="L61" s="8">
        <f t="shared" si="14"/>
        <v>0</v>
      </c>
      <c r="M61" s="3"/>
      <c r="N61" s="7">
        <f t="shared" si="15"/>
        <v>0</v>
      </c>
      <c r="O61" s="12"/>
      <c r="P61" s="8"/>
      <c r="Q61" s="3"/>
      <c r="R61" s="7">
        <f t="shared" si="16"/>
        <v>0</v>
      </c>
      <c r="S61" s="3"/>
      <c r="T61" s="8">
        <v>-5.41</v>
      </c>
      <c r="U61" s="3"/>
      <c r="V61" s="7">
        <f t="shared" si="17"/>
        <v>-4.9831357239084164E-6</v>
      </c>
      <c r="W61" s="3"/>
      <c r="X61" s="8">
        <f t="shared" si="18"/>
        <v>5.41</v>
      </c>
      <c r="Y61" s="3"/>
      <c r="Z61" s="7">
        <f t="shared" si="19"/>
        <v>-1</v>
      </c>
    </row>
    <row r="62" spans="1:26" s="68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SUM(OSRRefD22_10x_0)</f>
        <v>2872.63</v>
      </c>
      <c r="E62" s="2"/>
      <c r="F62" s="6">
        <f t="shared" si="12"/>
        <v>1.7875330510637838E-3</v>
      </c>
      <c r="G62" s="2"/>
      <c r="H62" s="2">
        <f>SUM(OSRRefH22_10x_0)</f>
        <v>1893.03</v>
      </c>
      <c r="I62" s="2"/>
      <c r="J62" s="6">
        <f t="shared" si="13"/>
        <v>1.4061680700021416E-2</v>
      </c>
      <c r="K62" s="2"/>
      <c r="L62" s="2">
        <f t="shared" si="14"/>
        <v>979.60000000000014</v>
      </c>
      <c r="M62" s="2"/>
      <c r="N62" s="6">
        <f t="shared" si="15"/>
        <v>0.51747727188686932</v>
      </c>
      <c r="O62" s="14"/>
      <c r="P62" s="2">
        <f>SUM(OSRRefP22_10x_0)</f>
        <v>30827.279999999999</v>
      </c>
      <c r="Q62" s="2"/>
      <c r="R62" s="6">
        <f t="shared" si="16"/>
        <v>3.5697267015797674E-3</v>
      </c>
      <c r="S62" s="2"/>
      <c r="T62" s="2">
        <f>SUM(OSRRefT22_10x_0)</f>
        <v>14128.91</v>
      </c>
      <c r="U62" s="2"/>
      <c r="V62" s="6">
        <f t="shared" si="17"/>
        <v>1.3014099105524373E-2</v>
      </c>
      <c r="W62" s="2"/>
      <c r="X62" s="2">
        <f t="shared" si="18"/>
        <v>16698.37</v>
      </c>
      <c r="Y62" s="2"/>
      <c r="Z62" s="6">
        <f t="shared" si="19"/>
        <v>1.181858331605198</v>
      </c>
    </row>
    <row r="63" spans="1:26" s="69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>
        <v>2872.63</v>
      </c>
      <c r="E63" s="3"/>
      <c r="F63" s="7">
        <f t="shared" si="12"/>
        <v>1.7875330510637838E-3</v>
      </c>
      <c r="G63" s="3"/>
      <c r="H63" s="8">
        <v>1893.03</v>
      </c>
      <c r="I63" s="3"/>
      <c r="J63" s="7">
        <f t="shared" si="13"/>
        <v>1.4061680700021416E-2</v>
      </c>
      <c r="K63" s="3"/>
      <c r="L63" s="8">
        <f t="shared" si="14"/>
        <v>979.60000000000014</v>
      </c>
      <c r="M63" s="3"/>
      <c r="N63" s="7">
        <f t="shared" si="15"/>
        <v>0.51747727188686932</v>
      </c>
      <c r="O63" s="12"/>
      <c r="P63" s="8">
        <v>30827.279999999999</v>
      </c>
      <c r="Q63" s="3"/>
      <c r="R63" s="7">
        <f t="shared" si="16"/>
        <v>3.5697267015797674E-3</v>
      </c>
      <c r="S63" s="3"/>
      <c r="T63" s="8">
        <v>14128.91</v>
      </c>
      <c r="U63" s="3"/>
      <c r="V63" s="7">
        <f t="shared" si="17"/>
        <v>1.3014099105524373E-2</v>
      </c>
      <c r="W63" s="3"/>
      <c r="X63" s="8">
        <f t="shared" si="18"/>
        <v>16698.37</v>
      </c>
      <c r="Y63" s="3"/>
      <c r="Z63" s="7">
        <f t="shared" si="19"/>
        <v>1.181858331605198</v>
      </c>
    </row>
    <row r="64" spans="1:26" s="68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SUM(OSRRefD22_11x_0)</f>
        <v>5761.42</v>
      </c>
      <c r="E64" s="2"/>
      <c r="F64" s="6">
        <f t="shared" si="12"/>
        <v>3.5851218817111517E-3</v>
      </c>
      <c r="G64" s="2"/>
      <c r="H64" s="2">
        <f>SUM(OSRRefH22_11x_0)</f>
        <v>4246.03</v>
      </c>
      <c r="I64" s="2"/>
      <c r="J64" s="6">
        <f t="shared" si="13"/>
        <v>3.1540080243161454E-2</v>
      </c>
      <c r="K64" s="2"/>
      <c r="L64" s="2">
        <f t="shared" si="14"/>
        <v>1515.3900000000003</v>
      </c>
      <c r="M64" s="2"/>
      <c r="N64" s="6">
        <f t="shared" si="15"/>
        <v>0.35689573554591003</v>
      </c>
      <c r="O64" s="14"/>
      <c r="P64" s="2">
        <f>SUM(OSRRefP22_11x_0)</f>
        <v>52974.37</v>
      </c>
      <c r="Q64" s="2"/>
      <c r="R64" s="6">
        <f t="shared" si="16"/>
        <v>6.1343077653418085E-3</v>
      </c>
      <c r="S64" s="2"/>
      <c r="T64" s="2">
        <f>SUM(OSRRefT22_11x_0)</f>
        <v>40080.239999999998</v>
      </c>
      <c r="U64" s="2"/>
      <c r="V64" s="6">
        <f t="shared" si="17"/>
        <v>3.6917795890355466E-2</v>
      </c>
      <c r="W64" s="2"/>
      <c r="X64" s="2">
        <f t="shared" si="18"/>
        <v>12894.130000000005</v>
      </c>
      <c r="Y64" s="2"/>
      <c r="Z64" s="6">
        <f t="shared" si="19"/>
        <v>0.32170790394468707</v>
      </c>
    </row>
    <row r="65" spans="1:26" s="69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8">
        <v>5761.42</v>
      </c>
      <c r="E65" s="3"/>
      <c r="F65" s="7">
        <f t="shared" si="12"/>
        <v>3.5851218817111517E-3</v>
      </c>
      <c r="G65" s="3"/>
      <c r="H65" s="8">
        <v>4246.03</v>
      </c>
      <c r="I65" s="3"/>
      <c r="J65" s="7">
        <f t="shared" si="13"/>
        <v>3.1540080243161454E-2</v>
      </c>
      <c r="K65" s="3"/>
      <c r="L65" s="8">
        <f t="shared" si="14"/>
        <v>1515.3900000000003</v>
      </c>
      <c r="M65" s="3"/>
      <c r="N65" s="7">
        <f t="shared" si="15"/>
        <v>0.35689573554591003</v>
      </c>
      <c r="O65" s="12"/>
      <c r="P65" s="8">
        <v>52974.37</v>
      </c>
      <c r="Q65" s="3"/>
      <c r="R65" s="7">
        <f t="shared" si="16"/>
        <v>6.1343077653418085E-3</v>
      </c>
      <c r="S65" s="3"/>
      <c r="T65" s="8">
        <v>40080.239999999998</v>
      </c>
      <c r="U65" s="3"/>
      <c r="V65" s="7">
        <f t="shared" si="17"/>
        <v>3.6917795890355466E-2</v>
      </c>
      <c r="W65" s="3"/>
      <c r="X65" s="8">
        <f t="shared" si="18"/>
        <v>12894.130000000005</v>
      </c>
      <c r="Y65" s="3"/>
      <c r="Z65" s="7">
        <f t="shared" si="19"/>
        <v>0.32170790394468707</v>
      </c>
    </row>
    <row r="66" spans="1:26" s="68" customFormat="1" ht="15" customHeight="1" outlineLevel="1" collapsed="1" x14ac:dyDescent="0.3">
      <c r="A66" s="25"/>
      <c r="B66" s="14" t="str">
        <f>CONCATENATE("     ","Interest                                          ")</f>
        <v xml:space="preserve">     Interest                                          </v>
      </c>
      <c r="C66" s="14"/>
      <c r="D66" s="2">
        <f>SUM(OSRRefD22_12x_0)</f>
        <v>7253</v>
      </c>
      <c r="E66" s="2"/>
      <c r="F66" s="6">
        <f t="shared" si="12"/>
        <v>4.5132778044390072E-3</v>
      </c>
      <c r="G66" s="2"/>
      <c r="H66" s="2">
        <f>SUM(OSRRefH22_12x_0)</f>
        <v>7510</v>
      </c>
      <c r="I66" s="2"/>
      <c r="J66" s="6">
        <f t="shared" si="13"/>
        <v>5.5785287109639481E-2</v>
      </c>
      <c r="K66" s="2"/>
      <c r="L66" s="2">
        <f t="shared" si="14"/>
        <v>-257</v>
      </c>
      <c r="M66" s="2"/>
      <c r="N66" s="6">
        <f t="shared" si="15"/>
        <v>-3.4221038615179764E-2</v>
      </c>
      <c r="O66" s="14"/>
      <c r="P66" s="2">
        <f>SUM(OSRRefP22_12x_0)</f>
        <v>57510</v>
      </c>
      <c r="Q66" s="2"/>
      <c r="R66" s="6">
        <f t="shared" si="16"/>
        <v>6.6595230785152773E-3</v>
      </c>
      <c r="S66" s="2"/>
      <c r="T66" s="2">
        <f>SUM(OSRRefT22_12x_0)</f>
        <v>59593.15</v>
      </c>
      <c r="U66" s="2"/>
      <c r="V66" s="6">
        <f t="shared" si="17"/>
        <v>5.4891082193203856E-2</v>
      </c>
      <c r="W66" s="2"/>
      <c r="X66" s="2">
        <f t="shared" si="18"/>
        <v>-2083.1500000000015</v>
      </c>
      <c r="Y66" s="2"/>
      <c r="Z66" s="6">
        <f t="shared" si="19"/>
        <v>-3.4956198824864962E-2</v>
      </c>
    </row>
    <row r="67" spans="1:26" s="69" customFormat="1" ht="15" hidden="1" customHeight="1" outlineLevel="2" x14ac:dyDescent="0.3">
      <c r="A67" s="26"/>
      <c r="B67" s="12" t="str">
        <f>CONCATENATE("          ","6401"," - ","INTEREST EXPENSE")</f>
        <v xml:space="preserve">          6401 - INTEREST EXPENSE</v>
      </c>
      <c r="C67" s="12"/>
      <c r="D67" s="8">
        <v>7253</v>
      </c>
      <c r="E67" s="3"/>
      <c r="F67" s="7">
        <f t="shared" si="12"/>
        <v>4.5132778044390072E-3</v>
      </c>
      <c r="G67" s="3"/>
      <c r="H67" s="8">
        <v>7510</v>
      </c>
      <c r="I67" s="3"/>
      <c r="J67" s="7">
        <f t="shared" si="13"/>
        <v>5.5785287109639481E-2</v>
      </c>
      <c r="K67" s="3"/>
      <c r="L67" s="8">
        <f t="shared" si="14"/>
        <v>-257</v>
      </c>
      <c r="M67" s="3"/>
      <c r="N67" s="7">
        <f t="shared" si="15"/>
        <v>-3.4221038615179764E-2</v>
      </c>
      <c r="O67" s="12"/>
      <c r="P67" s="8">
        <v>57510</v>
      </c>
      <c r="Q67" s="3"/>
      <c r="R67" s="7">
        <f t="shared" si="16"/>
        <v>6.6595230785152773E-3</v>
      </c>
      <c r="S67" s="3"/>
      <c r="T67" s="8">
        <v>59593.15</v>
      </c>
      <c r="U67" s="3"/>
      <c r="V67" s="7">
        <f t="shared" si="17"/>
        <v>5.4891082193203856E-2</v>
      </c>
      <c r="W67" s="3"/>
      <c r="X67" s="8">
        <f t="shared" si="18"/>
        <v>-2083.1500000000015</v>
      </c>
      <c r="Y67" s="3"/>
      <c r="Z67" s="7">
        <f t="shared" si="19"/>
        <v>-3.4956198824864962E-2</v>
      </c>
    </row>
    <row r="68" spans="1:26" s="68" customFormat="1" ht="15" customHeight="1" outlineLevel="1" collapsed="1" x14ac:dyDescent="0.3">
      <c r="A68" s="25"/>
      <c r="B68" s="14" t="str">
        <f>CONCATENATE("     ","R/H Commissions                                   ")</f>
        <v xml:space="preserve">     R/H Commissions                                   </v>
      </c>
      <c r="C68" s="14"/>
      <c r="D68" s="2">
        <f>SUM(OSRRefD22_13x_0)</f>
        <v>109401.29</v>
      </c>
      <c r="E68" s="2"/>
      <c r="F68" s="6">
        <f t="shared" si="12"/>
        <v>6.807643925741004E-2</v>
      </c>
      <c r="G68" s="2"/>
      <c r="H68" s="2">
        <f>SUM(OSRRefH22_13x_0)</f>
        <v>6342.49</v>
      </c>
      <c r="I68" s="2"/>
      <c r="J68" s="6">
        <f t="shared" si="13"/>
        <v>4.7112866263650771E-2</v>
      </c>
      <c r="K68" s="2"/>
      <c r="L68" s="2">
        <f t="shared" si="14"/>
        <v>103058.79999999999</v>
      </c>
      <c r="M68" s="2"/>
      <c r="N68" s="6">
        <f t="shared" si="15"/>
        <v>16.248949545052493</v>
      </c>
      <c r="O68" s="14"/>
      <c r="P68" s="2">
        <f>SUM(OSRRefP22_13x_0)</f>
        <v>609028.68999999994</v>
      </c>
      <c r="Q68" s="2"/>
      <c r="R68" s="6">
        <f t="shared" si="16"/>
        <v>7.0524093488661566E-2</v>
      </c>
      <c r="S68" s="2"/>
      <c r="T68" s="2">
        <f>SUM(OSRRefT22_13x_0)</f>
        <v>52255.85</v>
      </c>
      <c r="U68" s="2"/>
      <c r="V68" s="6">
        <f t="shared" si="17"/>
        <v>4.8132715881367763E-2</v>
      </c>
      <c r="W68" s="2"/>
      <c r="X68" s="2">
        <f t="shared" si="18"/>
        <v>556772.84</v>
      </c>
      <c r="Y68" s="2"/>
      <c r="Z68" s="6">
        <f t="shared" si="19"/>
        <v>10.654746597749343</v>
      </c>
    </row>
    <row r="69" spans="1:26" s="69" customFormat="1" ht="15" hidden="1" customHeight="1" outlineLevel="2" x14ac:dyDescent="0.3">
      <c r="A69" s="26"/>
      <c r="B69" s="12" t="str">
        <f>CONCATENATE("          ","6387"," - ","COMMISSION DUE HOUSING")</f>
        <v xml:space="preserve">          6387 - COMMISSION DUE HOUSING</v>
      </c>
      <c r="C69" s="12"/>
      <c r="D69" s="8">
        <v>109401.29</v>
      </c>
      <c r="E69" s="3"/>
      <c r="F69" s="7">
        <f t="shared" si="12"/>
        <v>6.807643925741004E-2</v>
      </c>
      <c r="G69" s="3"/>
      <c r="H69" s="8">
        <v>6342.49</v>
      </c>
      <c r="I69" s="3"/>
      <c r="J69" s="7">
        <f t="shared" si="13"/>
        <v>4.7112866263650771E-2</v>
      </c>
      <c r="K69" s="3"/>
      <c r="L69" s="8">
        <f t="shared" si="14"/>
        <v>103058.79999999999</v>
      </c>
      <c r="M69" s="3"/>
      <c r="N69" s="7">
        <f t="shared" si="15"/>
        <v>16.248949545052493</v>
      </c>
      <c r="O69" s="12"/>
      <c r="P69" s="8">
        <v>609028.68999999994</v>
      </c>
      <c r="Q69" s="3"/>
      <c r="R69" s="7">
        <f t="shared" si="16"/>
        <v>7.0524093488661566E-2</v>
      </c>
      <c r="S69" s="3"/>
      <c r="T69" s="8">
        <v>52255.85</v>
      </c>
      <c r="U69" s="3"/>
      <c r="V69" s="7">
        <f t="shared" si="17"/>
        <v>4.8132715881367763E-2</v>
      </c>
      <c r="W69" s="3"/>
      <c r="X69" s="8">
        <f t="shared" si="18"/>
        <v>556772.84</v>
      </c>
      <c r="Y69" s="3"/>
      <c r="Z69" s="7">
        <f t="shared" si="19"/>
        <v>10.654746597749343</v>
      </c>
    </row>
    <row r="70" spans="1:26" s="68" customFormat="1" ht="15" customHeight="1" outlineLevel="1" collapsed="1" x14ac:dyDescent="0.3">
      <c r="A70" s="25"/>
      <c r="B70" s="14" t="str">
        <f>CONCATENATE("     ","Rent                                              ")</f>
        <v xml:space="preserve">     Rent                                              </v>
      </c>
      <c r="C70" s="14"/>
      <c r="D70" s="2">
        <f>SUM(OSRRefD22_14x_0)</f>
        <v>1850</v>
      </c>
      <c r="E70" s="2"/>
      <c r="F70" s="6">
        <f t="shared" si="12"/>
        <v>1.151187637972172E-3</v>
      </c>
      <c r="G70" s="2"/>
      <c r="H70" s="2">
        <f>SUM(OSRRefH22_14x_0)</f>
        <v>0</v>
      </c>
      <c r="I70" s="2"/>
      <c r="J70" s="6">
        <f t="shared" si="13"/>
        <v>0</v>
      </c>
      <c r="K70" s="2"/>
      <c r="L70" s="2">
        <f t="shared" si="14"/>
        <v>1850</v>
      </c>
      <c r="M70" s="2"/>
      <c r="N70" s="6">
        <f t="shared" si="15"/>
        <v>0</v>
      </c>
      <c r="O70" s="14"/>
      <c r="P70" s="2">
        <f>SUM(OSRRefP22_14x_0)</f>
        <v>14800</v>
      </c>
      <c r="Q70" s="2"/>
      <c r="R70" s="6">
        <f t="shared" si="16"/>
        <v>1.7138052784215982E-3</v>
      </c>
      <c r="S70" s="2"/>
      <c r="T70" s="2">
        <f>SUM(OSRRefT22_14x_0)</f>
        <v>11100</v>
      </c>
      <c r="U70" s="2"/>
      <c r="V70" s="6">
        <f t="shared" si="17"/>
        <v>1.0224178657187324E-2</v>
      </c>
      <c r="W70" s="2"/>
      <c r="X70" s="2">
        <f t="shared" si="18"/>
        <v>3700</v>
      </c>
      <c r="Y70" s="2"/>
      <c r="Z70" s="6">
        <f t="shared" si="19"/>
        <v>0.33333333333333331</v>
      </c>
    </row>
    <row r="71" spans="1:26" s="69" customFormat="1" ht="15" hidden="1" customHeight="1" outlineLevel="2" x14ac:dyDescent="0.3">
      <c r="A71" s="26"/>
      <c r="B71" s="12" t="str">
        <f>CONCATENATE("          ","6273"," - ","RENT")</f>
        <v xml:space="preserve">          6273 - RENT</v>
      </c>
      <c r="C71" s="12"/>
      <c r="D71" s="8">
        <v>1850</v>
      </c>
      <c r="E71" s="3"/>
      <c r="F71" s="7">
        <f t="shared" si="12"/>
        <v>1.151187637972172E-3</v>
      </c>
      <c r="G71" s="3"/>
      <c r="H71" s="8"/>
      <c r="I71" s="3"/>
      <c r="J71" s="7">
        <f t="shared" si="13"/>
        <v>0</v>
      </c>
      <c r="K71" s="3"/>
      <c r="L71" s="8">
        <f t="shared" si="14"/>
        <v>1850</v>
      </c>
      <c r="M71" s="3"/>
      <c r="N71" s="7">
        <f t="shared" si="15"/>
        <v>0</v>
      </c>
      <c r="O71" s="12"/>
      <c r="P71" s="8">
        <v>14800</v>
      </c>
      <c r="Q71" s="3"/>
      <c r="R71" s="7">
        <f t="shared" si="16"/>
        <v>1.7138052784215982E-3</v>
      </c>
      <c r="S71" s="3"/>
      <c r="T71" s="8">
        <v>11100</v>
      </c>
      <c r="U71" s="3"/>
      <c r="V71" s="7">
        <f t="shared" si="17"/>
        <v>1.0224178657187324E-2</v>
      </c>
      <c r="W71" s="3"/>
      <c r="X71" s="8">
        <f t="shared" si="18"/>
        <v>3700</v>
      </c>
      <c r="Y71" s="3"/>
      <c r="Z71" s="7">
        <f t="shared" si="19"/>
        <v>0.33333333333333331</v>
      </c>
    </row>
    <row r="72" spans="1:26" s="68" customFormat="1" ht="15" customHeight="1" outlineLevel="1" collapsed="1" x14ac:dyDescent="0.3">
      <c r="A72" s="25"/>
      <c r="B72" s="14" t="str">
        <f>CONCATENATE("     ","Repair and Maintenance                            ")</f>
        <v xml:space="preserve">     Repair and Maintenance                            </v>
      </c>
      <c r="C72" s="14"/>
      <c r="D72" s="2">
        <f>SUM(OSRRefD22_15x_0)</f>
        <v>8465.98</v>
      </c>
      <c r="E72" s="2"/>
      <c r="F72" s="6">
        <f t="shared" si="12"/>
        <v>5.2680710915241338E-3</v>
      </c>
      <c r="G72" s="2"/>
      <c r="H72" s="2">
        <f>SUM(OSRRefH22_15x_0)</f>
        <v>5623.8700000000008</v>
      </c>
      <c r="I72" s="2"/>
      <c r="J72" s="6">
        <f t="shared" si="13"/>
        <v>4.1774860534925198E-2</v>
      </c>
      <c r="K72" s="2"/>
      <c r="L72" s="2">
        <f t="shared" si="14"/>
        <v>2842.1099999999988</v>
      </c>
      <c r="M72" s="2"/>
      <c r="N72" s="6">
        <f t="shared" si="15"/>
        <v>0.50536552231826093</v>
      </c>
      <c r="O72" s="14"/>
      <c r="P72" s="2">
        <f>SUM(OSRRefP22_15x_0)</f>
        <v>95821.959999999992</v>
      </c>
      <c r="Q72" s="2"/>
      <c r="R72" s="6">
        <f t="shared" si="16"/>
        <v>1.109595816464211E-2</v>
      </c>
      <c r="S72" s="2"/>
      <c r="T72" s="2">
        <f>SUM(OSRRefT22_15x_0)</f>
        <v>40063.79</v>
      </c>
      <c r="U72" s="2"/>
      <c r="V72" s="6">
        <f t="shared" si="17"/>
        <v>3.6902643841804951E-2</v>
      </c>
      <c r="W72" s="2"/>
      <c r="X72" s="2">
        <f t="shared" si="18"/>
        <v>55758.169999999991</v>
      </c>
      <c r="Y72" s="2"/>
      <c r="Z72" s="6">
        <f t="shared" si="19"/>
        <v>1.3917347809580669</v>
      </c>
    </row>
    <row r="73" spans="1:26" s="69" customFormat="1" ht="15" hidden="1" customHeight="1" outlineLevel="2" x14ac:dyDescent="0.3">
      <c r="A73" s="26"/>
      <c r="B73" s="12" t="str">
        <f>CONCATENATE("          ","6371"," - ","COMPUTER SOFTWARE MAINTENANCE")</f>
        <v xml:space="preserve">          6371 - COMPUTER SOFTWARE MAINTENANCE</v>
      </c>
      <c r="C73" s="12"/>
      <c r="D73" s="8">
        <v>3500</v>
      </c>
      <c r="E73" s="3"/>
      <c r="F73" s="7">
        <f t="shared" si="12"/>
        <v>2.1779225583257308E-3</v>
      </c>
      <c r="G73" s="3"/>
      <c r="H73" s="8">
        <v>4202.2700000000004</v>
      </c>
      <c r="I73" s="3"/>
      <c r="J73" s="7">
        <f t="shared" si="13"/>
        <v>3.1215025094836851E-2</v>
      </c>
      <c r="K73" s="3"/>
      <c r="L73" s="8">
        <f t="shared" si="14"/>
        <v>-702.27000000000044</v>
      </c>
      <c r="M73" s="3"/>
      <c r="N73" s="7">
        <f t="shared" si="15"/>
        <v>-0.16711682019479956</v>
      </c>
      <c r="O73" s="12"/>
      <c r="P73" s="8">
        <v>34817.17</v>
      </c>
      <c r="Q73" s="3"/>
      <c r="R73" s="7">
        <f t="shared" si="16"/>
        <v>4.0317466030879807E-3</v>
      </c>
      <c r="S73" s="3"/>
      <c r="T73" s="8">
        <v>11202.27</v>
      </c>
      <c r="U73" s="3"/>
      <c r="V73" s="7">
        <f t="shared" si="17"/>
        <v>1.0318379265409896E-2</v>
      </c>
      <c r="W73" s="3"/>
      <c r="X73" s="8">
        <f t="shared" si="18"/>
        <v>23614.899999999998</v>
      </c>
      <c r="Y73" s="3"/>
      <c r="Z73" s="7">
        <f t="shared" si="19"/>
        <v>2.108045958542331</v>
      </c>
    </row>
    <row r="74" spans="1:26" s="69" customFormat="1" ht="15" hidden="1" customHeight="1" outlineLevel="2" x14ac:dyDescent="0.3">
      <c r="A74" s="26"/>
      <c r="B74" s="12" t="str">
        <f>CONCATENATE("          ","6373"," - ","MAINTENANCE CONTRACTS")</f>
        <v xml:space="preserve">          6373 - MAINTENANCE CONTRACTS</v>
      </c>
      <c r="C74" s="12"/>
      <c r="D74" s="8">
        <v>913.68</v>
      </c>
      <c r="E74" s="3"/>
      <c r="F74" s="7">
        <f t="shared" si="12"/>
        <v>5.6854979516887238E-4</v>
      </c>
      <c r="G74" s="3"/>
      <c r="H74" s="8">
        <v>9.5399999999999991</v>
      </c>
      <c r="I74" s="3"/>
      <c r="J74" s="7">
        <f t="shared" si="13"/>
        <v>7.0864399337677852E-5</v>
      </c>
      <c r="K74" s="3"/>
      <c r="L74" s="8">
        <f t="shared" si="14"/>
        <v>904.14</v>
      </c>
      <c r="M74" s="3"/>
      <c r="N74" s="7">
        <f t="shared" si="15"/>
        <v>94.773584905660385</v>
      </c>
      <c r="O74" s="12"/>
      <c r="P74" s="8">
        <v>15265.56</v>
      </c>
      <c r="Q74" s="3"/>
      <c r="R74" s="7">
        <f t="shared" si="16"/>
        <v>1.767716034193352E-3</v>
      </c>
      <c r="S74" s="3"/>
      <c r="T74" s="8">
        <v>14006.89</v>
      </c>
      <c r="U74" s="3"/>
      <c r="V74" s="7">
        <f t="shared" si="17"/>
        <v>1.2901706828069419E-2</v>
      </c>
      <c r="W74" s="3"/>
      <c r="X74" s="8">
        <f t="shared" si="18"/>
        <v>1258.67</v>
      </c>
      <c r="Y74" s="3"/>
      <c r="Z74" s="7">
        <f t="shared" si="19"/>
        <v>8.9860775661121078E-2</v>
      </c>
    </row>
    <row r="75" spans="1:26" s="69" customFormat="1" ht="15" hidden="1" customHeight="1" outlineLevel="2" x14ac:dyDescent="0.3">
      <c r="A75" s="26"/>
      <c r="B75" s="12" t="str">
        <f>CONCATENATE("          ","6375"," - ","OUTSIDE REPAIRS &amp; MAINTENANCE")</f>
        <v xml:space="preserve">          6375 - OUTSIDE REPAIRS &amp; MAINTENANCE</v>
      </c>
      <c r="C75" s="12"/>
      <c r="D75" s="8">
        <v>4052.3</v>
      </c>
      <c r="E75" s="3"/>
      <c r="F75" s="7">
        <f t="shared" si="12"/>
        <v>2.521598738029531E-3</v>
      </c>
      <c r="G75" s="3"/>
      <c r="H75" s="8">
        <v>1412.06</v>
      </c>
      <c r="I75" s="3"/>
      <c r="J75" s="7">
        <f t="shared" si="13"/>
        <v>1.048897104075067E-2</v>
      </c>
      <c r="K75" s="3"/>
      <c r="L75" s="8">
        <f t="shared" si="14"/>
        <v>2640.2400000000002</v>
      </c>
      <c r="M75" s="3"/>
      <c r="N75" s="7">
        <f t="shared" si="15"/>
        <v>1.8697789045791258</v>
      </c>
      <c r="O75" s="12"/>
      <c r="P75" s="8">
        <v>45739.23</v>
      </c>
      <c r="Q75" s="3"/>
      <c r="R75" s="7">
        <f t="shared" si="16"/>
        <v>5.2964955273607783E-3</v>
      </c>
      <c r="S75" s="3"/>
      <c r="T75" s="8">
        <v>14854.63</v>
      </c>
      <c r="U75" s="3"/>
      <c r="V75" s="7">
        <f t="shared" si="17"/>
        <v>1.3682557748325634E-2</v>
      </c>
      <c r="W75" s="3"/>
      <c r="X75" s="8">
        <f t="shared" si="18"/>
        <v>30884.600000000006</v>
      </c>
      <c r="Y75" s="3"/>
      <c r="Z75" s="7">
        <f t="shared" si="19"/>
        <v>2.0791228054821969</v>
      </c>
    </row>
    <row r="76" spans="1:26" s="68" customFormat="1" ht="15" customHeight="1" outlineLevel="1" collapsed="1" x14ac:dyDescent="0.3">
      <c r="A76" s="25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2">
        <f>SUM(OSRRefD22_16x_0)</f>
        <v>1789.12</v>
      </c>
      <c r="E76" s="2"/>
      <c r="F76" s="6">
        <f t="shared" si="12"/>
        <v>1.1133042307290659E-3</v>
      </c>
      <c r="G76" s="2"/>
      <c r="H76" s="2">
        <f>SUM(OSRRefH22_16x_0)</f>
        <v>0</v>
      </c>
      <c r="I76" s="2"/>
      <c r="J76" s="6">
        <f t="shared" si="13"/>
        <v>0</v>
      </c>
      <c r="K76" s="2"/>
      <c r="L76" s="2">
        <f t="shared" si="14"/>
        <v>1789.12</v>
      </c>
      <c r="M76" s="2"/>
      <c r="N76" s="6">
        <f t="shared" si="15"/>
        <v>0</v>
      </c>
      <c r="O76" s="14"/>
      <c r="P76" s="2">
        <f>SUM(OSRRefP22_16x_0)</f>
        <v>3634.03</v>
      </c>
      <c r="Q76" s="2"/>
      <c r="R76" s="6">
        <f t="shared" si="16"/>
        <v>4.2081214837448924E-4</v>
      </c>
      <c r="S76" s="2"/>
      <c r="T76" s="2">
        <f>SUM(OSRRefT22_16x_0)</f>
        <v>0</v>
      </c>
      <c r="U76" s="2"/>
      <c r="V76" s="6">
        <f t="shared" si="17"/>
        <v>0</v>
      </c>
      <c r="W76" s="2"/>
      <c r="X76" s="2">
        <f t="shared" si="18"/>
        <v>3634.03</v>
      </c>
      <c r="Y76" s="2"/>
      <c r="Z76" s="6">
        <f t="shared" si="19"/>
        <v>0</v>
      </c>
    </row>
    <row r="77" spans="1:26" s="69" customFormat="1" ht="15" hidden="1" customHeight="1" outlineLevel="2" x14ac:dyDescent="0.3">
      <c r="A77" s="26"/>
      <c r="B77" s="12" t="str">
        <f>CONCATENATE("          ","6254"," - ","ROYALTY &amp; COMMISSIONS")</f>
        <v xml:space="preserve">          6254 - ROYALTY &amp; COMMISSIONS</v>
      </c>
      <c r="C77" s="12"/>
      <c r="D77" s="8">
        <v>1789.12</v>
      </c>
      <c r="E77" s="3"/>
      <c r="F77" s="7">
        <f t="shared" si="12"/>
        <v>1.1133042307290659E-3</v>
      </c>
      <c r="G77" s="3"/>
      <c r="H77" s="8"/>
      <c r="I77" s="3"/>
      <c r="J77" s="7">
        <f t="shared" si="13"/>
        <v>0</v>
      </c>
      <c r="K77" s="3"/>
      <c r="L77" s="8">
        <f t="shared" si="14"/>
        <v>1789.12</v>
      </c>
      <c r="M77" s="3"/>
      <c r="N77" s="7">
        <f t="shared" si="15"/>
        <v>0</v>
      </c>
      <c r="O77" s="12"/>
      <c r="P77" s="8">
        <v>3634.03</v>
      </c>
      <c r="Q77" s="3"/>
      <c r="R77" s="7">
        <f t="shared" si="16"/>
        <v>4.2081214837448924E-4</v>
      </c>
      <c r="S77" s="3"/>
      <c r="T77" s="8"/>
      <c r="U77" s="3"/>
      <c r="V77" s="7">
        <f t="shared" si="17"/>
        <v>0</v>
      </c>
      <c r="W77" s="3"/>
      <c r="X77" s="8">
        <f t="shared" si="18"/>
        <v>3634.03</v>
      </c>
      <c r="Y77" s="3"/>
      <c r="Z77" s="7">
        <f t="shared" si="19"/>
        <v>0</v>
      </c>
    </row>
    <row r="78" spans="1:26" s="68" customFormat="1" ht="15" customHeight="1" outlineLevel="1" collapsed="1" x14ac:dyDescent="0.3">
      <c r="A78" s="25"/>
      <c r="B78" s="14" t="str">
        <f>CONCATENATE("     ","Services                                          ")</f>
        <v xml:space="preserve">     Services                                          </v>
      </c>
      <c r="C78" s="14"/>
      <c r="D78" s="2">
        <f>SUM(OSRRefD22_17x_0)</f>
        <v>28277.919999999998</v>
      </c>
      <c r="E78" s="2"/>
      <c r="F78" s="6">
        <f t="shared" si="12"/>
        <v>1.7596319963008668E-2</v>
      </c>
      <c r="G78" s="2"/>
      <c r="H78" s="2">
        <f>SUM(OSRRefH22_17x_0)</f>
        <v>16399.45</v>
      </c>
      <c r="I78" s="2"/>
      <c r="J78" s="6">
        <f t="shared" si="13"/>
        <v>0.1218173138069477</v>
      </c>
      <c r="K78" s="2"/>
      <c r="L78" s="2">
        <f t="shared" si="14"/>
        <v>11878.469999999998</v>
      </c>
      <c r="M78" s="2"/>
      <c r="N78" s="6">
        <f t="shared" si="15"/>
        <v>0.72432124248069274</v>
      </c>
      <c r="O78" s="14"/>
      <c r="P78" s="2">
        <f>SUM(OSRRefP22_17x_0)</f>
        <v>189439.72999999998</v>
      </c>
      <c r="Q78" s="2"/>
      <c r="R78" s="6">
        <f t="shared" si="16"/>
        <v>2.1936676298429887E-2</v>
      </c>
      <c r="S78" s="2"/>
      <c r="T78" s="2">
        <f>SUM(OSRRefT22_17x_0)</f>
        <v>139205.07</v>
      </c>
      <c r="U78" s="2"/>
      <c r="V78" s="6">
        <f t="shared" si="17"/>
        <v>0.12822139690687095</v>
      </c>
      <c r="W78" s="2"/>
      <c r="X78" s="2">
        <f t="shared" si="18"/>
        <v>50234.659999999974</v>
      </c>
      <c r="Y78" s="2"/>
      <c r="Z78" s="6">
        <f t="shared" si="19"/>
        <v>0.36086803447604293</v>
      </c>
    </row>
    <row r="79" spans="1:26" s="69" customFormat="1" ht="15" hidden="1" customHeight="1" outlineLevel="2" x14ac:dyDescent="0.3">
      <c r="A79" s="26"/>
      <c r="B79" s="12" t="str">
        <f>CONCATENATE("          ","6282"," - ","JANITORIAL/EXTERMINATOR EXPENS")</f>
        <v xml:space="preserve">          6282 - JANITORIAL/EXTERMINATOR EXPENS</v>
      </c>
      <c r="C79" s="12"/>
      <c r="D79" s="8">
        <v>3585.55</v>
      </c>
      <c r="E79" s="3"/>
      <c r="F79" s="7">
        <f t="shared" si="12"/>
        <v>2.2311572082870925E-3</v>
      </c>
      <c r="G79" s="3"/>
      <c r="H79" s="8">
        <v>1047.5999999999999</v>
      </c>
      <c r="I79" s="3"/>
      <c r="J79" s="7">
        <f t="shared" si="13"/>
        <v>7.7817132857600953E-3</v>
      </c>
      <c r="K79" s="3"/>
      <c r="L79" s="8">
        <f t="shared" si="14"/>
        <v>2537.9500000000003</v>
      </c>
      <c r="M79" s="3"/>
      <c r="N79" s="7">
        <f t="shared" si="15"/>
        <v>2.4226326842306229</v>
      </c>
      <c r="O79" s="12"/>
      <c r="P79" s="8">
        <v>21603.43</v>
      </c>
      <c r="Q79" s="3"/>
      <c r="R79" s="7">
        <f t="shared" si="16"/>
        <v>2.5016265112169935E-3</v>
      </c>
      <c r="S79" s="3"/>
      <c r="T79" s="8">
        <v>16741.02</v>
      </c>
      <c r="U79" s="3"/>
      <c r="V79" s="7">
        <f t="shared" si="17"/>
        <v>1.5420106250769922E-2</v>
      </c>
      <c r="W79" s="3"/>
      <c r="X79" s="8">
        <f t="shared" si="18"/>
        <v>4862.41</v>
      </c>
      <c r="Y79" s="3"/>
      <c r="Z79" s="7">
        <f t="shared" si="19"/>
        <v>0.29044884959219924</v>
      </c>
    </row>
    <row r="80" spans="1:26" s="69" customFormat="1" ht="15" hidden="1" customHeight="1" outlineLevel="2" x14ac:dyDescent="0.3">
      <c r="A80" s="26"/>
      <c r="B80" s="12" t="str">
        <f>CONCATENATE("          ","6284"," - ","TRASH REMOVAL EXPENSE")</f>
        <v xml:space="preserve">          6284 - TRASH REMOVAL EXPENSE</v>
      </c>
      <c r="C80" s="12"/>
      <c r="D80" s="8"/>
      <c r="E80" s="3"/>
      <c r="F80" s="7">
        <f t="shared" si="12"/>
        <v>0</v>
      </c>
      <c r="G80" s="3"/>
      <c r="H80" s="8">
        <v>5369</v>
      </c>
      <c r="I80" s="3"/>
      <c r="J80" s="7">
        <f t="shared" si="13"/>
        <v>3.988165199622562E-2</v>
      </c>
      <c r="K80" s="3"/>
      <c r="L80" s="8">
        <f t="shared" si="14"/>
        <v>-5369</v>
      </c>
      <c r="M80" s="3"/>
      <c r="N80" s="7">
        <f t="shared" si="15"/>
        <v>-1</v>
      </c>
      <c r="O80" s="12"/>
      <c r="P80" s="8"/>
      <c r="Q80" s="3"/>
      <c r="R80" s="7">
        <f t="shared" si="16"/>
        <v>0</v>
      </c>
      <c r="S80" s="3"/>
      <c r="T80" s="8">
        <v>29888.75</v>
      </c>
      <c r="U80" s="3"/>
      <c r="V80" s="7">
        <f t="shared" si="17"/>
        <v>2.7530443228829516E-2</v>
      </c>
      <c r="W80" s="3"/>
      <c r="X80" s="8">
        <f t="shared" si="18"/>
        <v>-29888.75</v>
      </c>
      <c r="Y80" s="3"/>
      <c r="Z80" s="7">
        <f t="shared" si="19"/>
        <v>-1</v>
      </c>
    </row>
    <row r="81" spans="1:26" s="69" customFormat="1" ht="15" hidden="1" customHeight="1" outlineLevel="2" x14ac:dyDescent="0.3">
      <c r="A81" s="26"/>
      <c r="B81" s="12" t="str">
        <f>CONCATENATE("          ","6285"," - ","JANITORIAL SERVICES")</f>
        <v xml:space="preserve">          6285 - JANITORIAL SERVICES</v>
      </c>
      <c r="C81" s="12"/>
      <c r="D81" s="8">
        <v>21499.18</v>
      </c>
      <c r="E81" s="3"/>
      <c r="F81" s="7">
        <f t="shared" si="12"/>
        <v>1.3378156887858681E-2</v>
      </c>
      <c r="G81" s="3"/>
      <c r="H81" s="8">
        <v>8897.19</v>
      </c>
      <c r="I81" s="3"/>
      <c r="J81" s="7">
        <f t="shared" si="13"/>
        <v>6.6089520455261425E-2</v>
      </c>
      <c r="K81" s="3"/>
      <c r="L81" s="8">
        <f t="shared" si="14"/>
        <v>12601.99</v>
      </c>
      <c r="M81" s="3"/>
      <c r="N81" s="7">
        <f t="shared" si="15"/>
        <v>1.4164011333915538</v>
      </c>
      <c r="O81" s="12"/>
      <c r="P81" s="8">
        <v>144610.37</v>
      </c>
      <c r="Q81" s="3"/>
      <c r="R81" s="7">
        <f t="shared" si="16"/>
        <v>1.6745541582466238E-2</v>
      </c>
      <c r="S81" s="3"/>
      <c r="T81" s="8">
        <v>79867.17</v>
      </c>
      <c r="U81" s="3"/>
      <c r="V81" s="7">
        <f t="shared" si="17"/>
        <v>7.3565424767923576E-2</v>
      </c>
      <c r="W81" s="3"/>
      <c r="X81" s="8">
        <f t="shared" si="18"/>
        <v>64743.199999999997</v>
      </c>
      <c r="Y81" s="3"/>
      <c r="Z81" s="7">
        <f t="shared" si="19"/>
        <v>0.81063595968155622</v>
      </c>
    </row>
    <row r="82" spans="1:26" s="69" customFormat="1" ht="15" hidden="1" customHeight="1" outlineLevel="2" x14ac:dyDescent="0.3">
      <c r="A82" s="26"/>
      <c r="B82" s="12" t="str">
        <f>CONCATENATE("          ","6286"," - ","LAUNDRY EXPENSE")</f>
        <v xml:space="preserve">          6286 - LAUNDRY EXPENSE</v>
      </c>
      <c r="C82" s="12"/>
      <c r="D82" s="8">
        <v>3193.19</v>
      </c>
      <c r="E82" s="3"/>
      <c r="F82" s="7">
        <f t="shared" si="12"/>
        <v>1.987005866862897E-3</v>
      </c>
      <c r="G82" s="3"/>
      <c r="H82" s="8">
        <v>1085.6600000000001</v>
      </c>
      <c r="I82" s="3"/>
      <c r="J82" s="7">
        <f t="shared" si="13"/>
        <v>8.0644280697005598E-3</v>
      </c>
      <c r="K82" s="3"/>
      <c r="L82" s="8">
        <f t="shared" si="14"/>
        <v>2107.5299999999997</v>
      </c>
      <c r="M82" s="3"/>
      <c r="N82" s="7">
        <f t="shared" si="15"/>
        <v>1.9412431147873179</v>
      </c>
      <c r="O82" s="12"/>
      <c r="P82" s="8">
        <v>23225.93</v>
      </c>
      <c r="Q82" s="3"/>
      <c r="R82" s="7">
        <f t="shared" si="16"/>
        <v>2.6895082047466586E-3</v>
      </c>
      <c r="S82" s="3"/>
      <c r="T82" s="8">
        <v>12708.13</v>
      </c>
      <c r="U82" s="3"/>
      <c r="V82" s="7">
        <f t="shared" si="17"/>
        <v>1.1705422659347922E-2</v>
      </c>
      <c r="W82" s="3"/>
      <c r="X82" s="8">
        <f t="shared" si="18"/>
        <v>10517.800000000001</v>
      </c>
      <c r="Y82" s="3"/>
      <c r="Z82" s="7">
        <f t="shared" si="19"/>
        <v>0.82764340622892607</v>
      </c>
    </row>
    <row r="83" spans="1:26" s="68" customFormat="1" ht="15" customHeight="1" outlineLevel="1" collapsed="1" x14ac:dyDescent="0.3">
      <c r="A83" s="25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2">
        <f>SUM(OSRRefD22_18x_0)</f>
        <v>622.25</v>
      </c>
      <c r="E83" s="2"/>
      <c r="F83" s="6">
        <f t="shared" si="12"/>
        <v>3.8720351769091024E-4</v>
      </c>
      <c r="G83" s="2"/>
      <c r="H83" s="2">
        <f>SUM(OSRRefH22_18x_0)</f>
        <v>262.83999999999997</v>
      </c>
      <c r="I83" s="2"/>
      <c r="J83" s="6">
        <f t="shared" si="13"/>
        <v>1.952410767496357E-3</v>
      </c>
      <c r="K83" s="2"/>
      <c r="L83" s="2">
        <f t="shared" si="14"/>
        <v>359.41</v>
      </c>
      <c r="M83" s="2"/>
      <c r="N83" s="6">
        <f t="shared" si="15"/>
        <v>1.3674098310759399</v>
      </c>
      <c r="O83" s="14"/>
      <c r="P83" s="2">
        <f>SUM(OSRRefP22_18x_0)</f>
        <v>5155.3599999999997</v>
      </c>
      <c r="Q83" s="2"/>
      <c r="R83" s="6">
        <f t="shared" si="16"/>
        <v>5.9697859325429526E-4</v>
      </c>
      <c r="S83" s="2"/>
      <c r="T83" s="2">
        <f>SUM(OSRRefT22_18x_0)</f>
        <v>1592.01</v>
      </c>
      <c r="U83" s="2"/>
      <c r="V83" s="6">
        <f t="shared" si="17"/>
        <v>1.4663959156782694E-3</v>
      </c>
      <c r="W83" s="2"/>
      <c r="X83" s="2">
        <f t="shared" si="18"/>
        <v>3563.3499999999995</v>
      </c>
      <c r="Y83" s="2"/>
      <c r="Z83" s="6">
        <f t="shared" si="19"/>
        <v>2.2382711163874593</v>
      </c>
    </row>
    <row r="84" spans="1:26" s="69" customFormat="1" ht="15" hidden="1" customHeight="1" outlineLevel="2" x14ac:dyDescent="0.3">
      <c r="A84" s="26"/>
      <c r="B84" s="12" t="str">
        <f>CONCATENATE("          ","6258"," - ","MEMBERSHIP DUES")</f>
        <v xml:space="preserve">          6258 - MEMBERSHIP DUES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/>
      <c r="Q84" s="3"/>
      <c r="R84" s="7">
        <f t="shared" si="16"/>
        <v>0</v>
      </c>
      <c r="S84" s="3"/>
      <c r="T84" s="8">
        <v>795</v>
      </c>
      <c r="U84" s="3"/>
      <c r="V84" s="7">
        <f t="shared" si="17"/>
        <v>7.3227225517692989E-4</v>
      </c>
      <c r="W84" s="3"/>
      <c r="X84" s="8">
        <f t="shared" si="18"/>
        <v>-795</v>
      </c>
      <c r="Y84" s="3"/>
      <c r="Z84" s="7">
        <f t="shared" si="19"/>
        <v>-1</v>
      </c>
    </row>
    <row r="85" spans="1:26" s="69" customFormat="1" ht="15" hidden="1" customHeight="1" outlineLevel="2" x14ac:dyDescent="0.3">
      <c r="A85" s="26"/>
      <c r="B85" s="12" t="str">
        <f>CONCATENATE("          ","6275"," - ","SUBSCRIPTIONS")</f>
        <v xml:space="preserve">          6275 - SUBSCRIPTIONS</v>
      </c>
      <c r="C85" s="12"/>
      <c r="D85" s="8">
        <v>622.25</v>
      </c>
      <c r="E85" s="3"/>
      <c r="F85" s="7">
        <f t="shared" si="12"/>
        <v>3.8720351769091024E-4</v>
      </c>
      <c r="G85" s="3"/>
      <c r="H85" s="8">
        <v>262.83999999999997</v>
      </c>
      <c r="I85" s="3"/>
      <c r="J85" s="7">
        <f t="shared" si="13"/>
        <v>1.952410767496357E-3</v>
      </c>
      <c r="K85" s="3"/>
      <c r="L85" s="8">
        <f t="shared" si="14"/>
        <v>359.41</v>
      </c>
      <c r="M85" s="3"/>
      <c r="N85" s="7">
        <f t="shared" si="15"/>
        <v>1.3674098310759399</v>
      </c>
      <c r="O85" s="12"/>
      <c r="P85" s="8">
        <v>5155.3599999999997</v>
      </c>
      <c r="Q85" s="3"/>
      <c r="R85" s="7">
        <f t="shared" si="16"/>
        <v>5.9697859325429526E-4</v>
      </c>
      <c r="S85" s="3"/>
      <c r="T85" s="8">
        <v>797.01</v>
      </c>
      <c r="U85" s="3"/>
      <c r="V85" s="7">
        <f t="shared" si="17"/>
        <v>7.3412366050133954E-4</v>
      </c>
      <c r="W85" s="3"/>
      <c r="X85" s="8">
        <f t="shared" si="18"/>
        <v>4358.3499999999995</v>
      </c>
      <c r="Y85" s="3"/>
      <c r="Z85" s="7">
        <f t="shared" si="19"/>
        <v>5.4683755536316978</v>
      </c>
    </row>
    <row r="86" spans="1:26" s="68" customFormat="1" ht="15" customHeight="1" outlineLevel="1" collapsed="1" x14ac:dyDescent="0.3">
      <c r="A86" s="25"/>
      <c r="B86" s="14" t="str">
        <f>CONCATENATE("     ","Supplies                                          ")</f>
        <v xml:space="preserve">     Supplies                                          </v>
      </c>
      <c r="C86" s="14"/>
      <c r="D86" s="2">
        <f>SUM(OSRRefD22_19x_0)</f>
        <v>32111.83</v>
      </c>
      <c r="E86" s="2"/>
      <c r="F86" s="6">
        <f t="shared" si="12"/>
        <v>1.9982022556034557E-2</v>
      </c>
      <c r="G86" s="2"/>
      <c r="H86" s="2">
        <f>SUM(OSRRefH22_19x_0)</f>
        <v>12155.08</v>
      </c>
      <c r="I86" s="2"/>
      <c r="J86" s="6">
        <f t="shared" si="13"/>
        <v>9.0289564266396366E-2</v>
      </c>
      <c r="K86" s="2"/>
      <c r="L86" s="2">
        <f t="shared" si="14"/>
        <v>19956.75</v>
      </c>
      <c r="M86" s="2"/>
      <c r="N86" s="6">
        <f t="shared" si="15"/>
        <v>1.6418443975687531</v>
      </c>
      <c r="O86" s="14"/>
      <c r="P86" s="2">
        <f>SUM(OSRRefP22_19x_0)</f>
        <v>271348.65999999997</v>
      </c>
      <c r="Q86" s="2"/>
      <c r="R86" s="6">
        <f t="shared" si="16"/>
        <v>3.1421538229772131E-2</v>
      </c>
      <c r="S86" s="2"/>
      <c r="T86" s="2">
        <f>SUM(OSRRefT22_19x_0)</f>
        <v>91224.51</v>
      </c>
      <c r="U86" s="2"/>
      <c r="V86" s="6">
        <f t="shared" si="17"/>
        <v>8.4026638572465909E-2</v>
      </c>
      <c r="W86" s="2"/>
      <c r="X86" s="2">
        <f t="shared" si="18"/>
        <v>180124.14999999997</v>
      </c>
      <c r="Y86" s="2"/>
      <c r="Z86" s="6">
        <f t="shared" si="19"/>
        <v>1.9745148535190813</v>
      </c>
    </row>
    <row r="87" spans="1:26" s="69" customFormat="1" ht="15" hidden="1" customHeight="1" outlineLevel="2" x14ac:dyDescent="0.3">
      <c r="A87" s="26"/>
      <c r="B87" s="12" t="str">
        <f>CONCATENATE("          ","6234"," - ","EXPENDABLE SUPPLIES &amp; EQUIPMEN")</f>
        <v xml:space="preserve">          6234 - EXPENDABLE SUPPLIES &amp; EQUIPMEN</v>
      </c>
      <c r="C87" s="12"/>
      <c r="D87" s="8"/>
      <c r="E87" s="3"/>
      <c r="F87" s="7">
        <f t="shared" si="12"/>
        <v>0</v>
      </c>
      <c r="G87" s="3"/>
      <c r="H87" s="8"/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>
        <v>394.75</v>
      </c>
      <c r="Q87" s="3"/>
      <c r="R87" s="7">
        <f t="shared" si="16"/>
        <v>4.5711123895738236E-5</v>
      </c>
      <c r="S87" s="3"/>
      <c r="T87" s="8">
        <v>310.91000000000003</v>
      </c>
      <c r="U87" s="3"/>
      <c r="V87" s="7">
        <f t="shared" si="17"/>
        <v>2.8637832309064061E-4</v>
      </c>
      <c r="W87" s="3"/>
      <c r="X87" s="8">
        <f t="shared" si="18"/>
        <v>83.839999999999975</v>
      </c>
      <c r="Y87" s="3"/>
      <c r="Z87" s="7">
        <f t="shared" si="19"/>
        <v>0.26966003023382962</v>
      </c>
    </row>
    <row r="88" spans="1:26" s="69" customFormat="1" ht="15" hidden="1" customHeight="1" outlineLevel="2" x14ac:dyDescent="0.3">
      <c r="A88" s="26"/>
      <c r="B88" s="12" t="str">
        <f>CONCATENATE("          ","6235"," - ","COVID-19 EXPENSES")</f>
        <v xml:space="preserve">          6235 - COVID-19 EXPENSES</v>
      </c>
      <c r="C88" s="12"/>
      <c r="D88" s="8">
        <v>158.76</v>
      </c>
      <c r="E88" s="3"/>
      <c r="F88" s="7">
        <f t="shared" si="12"/>
        <v>9.8790567245655132E-5</v>
      </c>
      <c r="G88" s="3"/>
      <c r="H88" s="8">
        <v>2921.2</v>
      </c>
      <c r="I88" s="3"/>
      <c r="J88" s="7">
        <f t="shared" si="13"/>
        <v>2.1699065340170284E-2</v>
      </c>
      <c r="K88" s="3"/>
      <c r="L88" s="8">
        <f t="shared" si="14"/>
        <v>-2762.4399999999996</v>
      </c>
      <c r="M88" s="3"/>
      <c r="N88" s="7">
        <f t="shared" si="15"/>
        <v>-0.94565247158701893</v>
      </c>
      <c r="O88" s="12"/>
      <c r="P88" s="8">
        <v>670.68</v>
      </c>
      <c r="Q88" s="3"/>
      <c r="R88" s="7">
        <f t="shared" si="16"/>
        <v>7.766317054944576E-5</v>
      </c>
      <c r="S88" s="3"/>
      <c r="T88" s="8">
        <v>60451.41</v>
      </c>
      <c r="U88" s="3"/>
      <c r="V88" s="7">
        <f t="shared" si="17"/>
        <v>5.568162305575499E-2</v>
      </c>
      <c r="W88" s="3"/>
      <c r="X88" s="8">
        <f t="shared" si="18"/>
        <v>-59780.73</v>
      </c>
      <c r="Y88" s="3"/>
      <c r="Z88" s="7">
        <f t="shared" si="19"/>
        <v>-0.98890546969872162</v>
      </c>
    </row>
    <row r="89" spans="1:26" s="69" customFormat="1" ht="15" hidden="1" customHeight="1" outlineLevel="2" x14ac:dyDescent="0.3">
      <c r="A89" s="26"/>
      <c r="B89" s="12" t="str">
        <f>CONCATENATE("          ","6237"," - ","JANITORIAL SUPPLIES")</f>
        <v xml:space="preserve">          6237 - JANITORIAL SUPPLIES</v>
      </c>
      <c r="C89" s="12"/>
      <c r="D89" s="8">
        <v>9666.34</v>
      </c>
      <c r="E89" s="3"/>
      <c r="F89" s="7">
        <f t="shared" si="12"/>
        <v>6.0150114121275263E-3</v>
      </c>
      <c r="G89" s="3"/>
      <c r="H89" s="8">
        <v>648.99</v>
      </c>
      <c r="I89" s="3"/>
      <c r="J89" s="7">
        <f t="shared" si="13"/>
        <v>4.8207847511697642E-3</v>
      </c>
      <c r="K89" s="3"/>
      <c r="L89" s="8">
        <f t="shared" si="14"/>
        <v>9017.35</v>
      </c>
      <c r="M89" s="3"/>
      <c r="N89" s="7">
        <f t="shared" si="15"/>
        <v>13.894435969737593</v>
      </c>
      <c r="O89" s="12"/>
      <c r="P89" s="8">
        <v>49550.09</v>
      </c>
      <c r="Q89" s="3"/>
      <c r="R89" s="7">
        <f t="shared" si="16"/>
        <v>5.7377841748827863E-3</v>
      </c>
      <c r="S89" s="3"/>
      <c r="T89" s="8">
        <v>18243.71</v>
      </c>
      <c r="U89" s="3"/>
      <c r="V89" s="7">
        <f t="shared" si="17"/>
        <v>1.6804229766659004E-2</v>
      </c>
      <c r="W89" s="3"/>
      <c r="X89" s="8">
        <f t="shared" si="18"/>
        <v>31306.379999999997</v>
      </c>
      <c r="Y89" s="3"/>
      <c r="Z89" s="7">
        <f t="shared" si="19"/>
        <v>1.7160095178009296</v>
      </c>
    </row>
    <row r="90" spans="1:26" s="69" customFormat="1" ht="15" hidden="1" customHeight="1" outlineLevel="2" x14ac:dyDescent="0.3">
      <c r="A90" s="26"/>
      <c r="B90" s="12" t="str">
        <f>CONCATENATE("          ","6239"," - ","KITCHEN SUPPLIES")</f>
        <v xml:space="preserve">          6239 - KITCHEN SUPPLIES</v>
      </c>
      <c r="C90" s="12"/>
      <c r="D90" s="8">
        <v>3639.07</v>
      </c>
      <c r="E90" s="3"/>
      <c r="F90" s="7">
        <f t="shared" ref="F90:F104" si="20">IF(D$12=0,0,D90/D$12)</f>
        <v>2.2644607555218333E-3</v>
      </c>
      <c r="G90" s="3"/>
      <c r="H90" s="8">
        <v>253.3</v>
      </c>
      <c r="I90" s="3"/>
      <c r="J90" s="7">
        <f t="shared" ref="J90:J104" si="21">IF(H$12=0,0,H90/H$12)</f>
        <v>1.8815463681586793E-3</v>
      </c>
      <c r="K90" s="3"/>
      <c r="L90" s="8">
        <f t="shared" ref="L90:L104" si="22">+D90-H90</f>
        <v>3385.77</v>
      </c>
      <c r="M90" s="3"/>
      <c r="N90" s="7">
        <f t="shared" ref="N90:N104" si="23">IF(H90=0,0,L90/H90)</f>
        <v>13.366640347414133</v>
      </c>
      <c r="O90" s="12"/>
      <c r="P90" s="8">
        <v>32599.3</v>
      </c>
      <c r="Q90" s="3"/>
      <c r="R90" s="7">
        <f t="shared" ref="R90:R104" si="24">IF(P$12=0,0,P90/P$12)</f>
        <v>3.7749224603276488E-3</v>
      </c>
      <c r="S90" s="3"/>
      <c r="T90" s="8">
        <v>7067.16</v>
      </c>
      <c r="U90" s="3"/>
      <c r="V90" s="7">
        <f t="shared" ref="V90:V104" si="25">IF(T$12=0,0,T90/T$12)</f>
        <v>6.5095411206241406E-3</v>
      </c>
      <c r="W90" s="3"/>
      <c r="X90" s="8">
        <f t="shared" ref="X90:X104" si="26">+P90-T90</f>
        <v>25532.14</v>
      </c>
      <c r="Y90" s="3"/>
      <c r="Z90" s="7">
        <f t="shared" ref="Z90:Z104" si="27">IF(T90=0,0,X90/T90)</f>
        <v>3.6127864658504971</v>
      </c>
    </row>
    <row r="91" spans="1:26" s="69" customFormat="1" ht="15" hidden="1" customHeight="1" outlineLevel="2" x14ac:dyDescent="0.3">
      <c r="A91" s="26"/>
      <c r="B91" s="12" t="str">
        <f>CONCATENATE("          ","6241"," - ","OFFICE EXPENSE")</f>
        <v xml:space="preserve">          6241 - OFFICE EXPENSE</v>
      </c>
      <c r="C91" s="12"/>
      <c r="D91" s="8">
        <v>2281.86</v>
      </c>
      <c r="E91" s="3"/>
      <c r="F91" s="7">
        <f t="shared" si="20"/>
        <v>1.4199183911260435E-3</v>
      </c>
      <c r="G91" s="3"/>
      <c r="H91" s="8">
        <v>1130.8499999999999</v>
      </c>
      <c r="I91" s="3"/>
      <c r="J91" s="7">
        <f t="shared" si="21"/>
        <v>8.4001054497917175E-3</v>
      </c>
      <c r="K91" s="3"/>
      <c r="L91" s="8">
        <f t="shared" si="22"/>
        <v>1151.0100000000002</v>
      </c>
      <c r="M91" s="3"/>
      <c r="N91" s="7">
        <f t="shared" si="23"/>
        <v>1.0178272980501395</v>
      </c>
      <c r="O91" s="12"/>
      <c r="P91" s="8">
        <v>23348.52</v>
      </c>
      <c r="Q91" s="3"/>
      <c r="R91" s="7">
        <f t="shared" si="24"/>
        <v>2.7037038391440711E-3</v>
      </c>
      <c r="S91" s="3"/>
      <c r="T91" s="8">
        <v>-23668.25</v>
      </c>
      <c r="U91" s="3"/>
      <c r="V91" s="7">
        <f t="shared" si="25"/>
        <v>-2.1800758243511159E-2</v>
      </c>
      <c r="W91" s="3"/>
      <c r="X91" s="8">
        <f t="shared" si="26"/>
        <v>47016.770000000004</v>
      </c>
      <c r="Y91" s="3"/>
      <c r="Z91" s="7">
        <f t="shared" si="27"/>
        <v>-1.9864911854488609</v>
      </c>
    </row>
    <row r="92" spans="1:26" s="69" customFormat="1" ht="15" hidden="1" customHeight="1" outlineLevel="2" x14ac:dyDescent="0.3">
      <c r="A92" s="26"/>
      <c r="B92" s="12" t="str">
        <f>CONCATENATE("          ","6243"," - ","PAPER SUPPLIES")</f>
        <v xml:space="preserve">          6243 - PAPER SUPPLIES</v>
      </c>
      <c r="C92" s="12"/>
      <c r="D92" s="8">
        <v>14118.76</v>
      </c>
      <c r="E92" s="3"/>
      <c r="F92" s="7">
        <f t="shared" si="20"/>
        <v>8.7855902570248556E-3</v>
      </c>
      <c r="G92" s="3"/>
      <c r="H92" s="8">
        <v>7200.74</v>
      </c>
      <c r="I92" s="3"/>
      <c r="J92" s="7">
        <f t="shared" si="21"/>
        <v>5.348806235710591E-2</v>
      </c>
      <c r="K92" s="3"/>
      <c r="L92" s="8">
        <f t="shared" si="22"/>
        <v>6918.02</v>
      </c>
      <c r="M92" s="3"/>
      <c r="N92" s="7">
        <f t="shared" si="23"/>
        <v>0.96073736865933235</v>
      </c>
      <c r="O92" s="12"/>
      <c r="P92" s="8">
        <v>153313.48000000001</v>
      </c>
      <c r="Q92" s="3"/>
      <c r="R92" s="7">
        <f t="shared" si="24"/>
        <v>1.7753341302512441E-2</v>
      </c>
      <c r="S92" s="3"/>
      <c r="T92" s="8">
        <v>24318.98</v>
      </c>
      <c r="U92" s="3"/>
      <c r="V92" s="7">
        <f t="shared" si="25"/>
        <v>2.2400143809059945E-2</v>
      </c>
      <c r="W92" s="3"/>
      <c r="X92" s="8">
        <f t="shared" si="26"/>
        <v>128994.50000000001</v>
      </c>
      <c r="Y92" s="3"/>
      <c r="Z92" s="7">
        <f t="shared" si="27"/>
        <v>5.3042726298553644</v>
      </c>
    </row>
    <row r="93" spans="1:26" s="69" customFormat="1" ht="15" hidden="1" customHeight="1" outlineLevel="2" x14ac:dyDescent="0.3">
      <c r="A93" s="26"/>
      <c r="B93" s="12" t="str">
        <f>CONCATENATE("          ","6245"," - ","PRINTING")</f>
        <v xml:space="preserve">          6245 - PRINTING</v>
      </c>
      <c r="C93" s="12"/>
      <c r="D93" s="8"/>
      <c r="E93" s="3"/>
      <c r="F93" s="7">
        <f t="shared" si="20"/>
        <v>0</v>
      </c>
      <c r="G93" s="3"/>
      <c r="H93" s="8"/>
      <c r="I93" s="3"/>
      <c r="J93" s="7">
        <f t="shared" si="21"/>
        <v>0</v>
      </c>
      <c r="K93" s="3"/>
      <c r="L93" s="8">
        <f t="shared" si="22"/>
        <v>0</v>
      </c>
      <c r="M93" s="3"/>
      <c r="N93" s="7">
        <f t="shared" si="23"/>
        <v>0</v>
      </c>
      <c r="O93" s="12"/>
      <c r="P93" s="8">
        <v>1071</v>
      </c>
      <c r="Q93" s="3"/>
      <c r="R93" s="7">
        <f t="shared" si="24"/>
        <v>1.2401928737767106E-4</v>
      </c>
      <c r="S93" s="3"/>
      <c r="T93" s="8"/>
      <c r="U93" s="3"/>
      <c r="V93" s="7">
        <f t="shared" si="25"/>
        <v>0</v>
      </c>
      <c r="W93" s="3"/>
      <c r="X93" s="8">
        <f t="shared" si="26"/>
        <v>1071</v>
      </c>
      <c r="Y93" s="3"/>
      <c r="Z93" s="7">
        <f t="shared" si="27"/>
        <v>0</v>
      </c>
    </row>
    <row r="94" spans="1:26" s="69" customFormat="1" ht="15" hidden="1" customHeight="1" outlineLevel="2" x14ac:dyDescent="0.3">
      <c r="A94" s="26"/>
      <c r="B94" s="12" t="str">
        <f>CONCATENATE("          ","6247"," - ","STORE SUPPLIES")</f>
        <v xml:space="preserve">          6247 - STORE SUPPLIES</v>
      </c>
      <c r="C94" s="12"/>
      <c r="D94" s="8">
        <v>724.79</v>
      </c>
      <c r="E94" s="3"/>
      <c r="F94" s="7">
        <f t="shared" si="20"/>
        <v>4.5101042601397318E-4</v>
      </c>
      <c r="G94" s="3"/>
      <c r="H94" s="8"/>
      <c r="I94" s="3"/>
      <c r="J94" s="7">
        <f t="shared" si="21"/>
        <v>0</v>
      </c>
      <c r="K94" s="3"/>
      <c r="L94" s="8">
        <f t="shared" si="22"/>
        <v>724.79</v>
      </c>
      <c r="M94" s="3"/>
      <c r="N94" s="7">
        <f t="shared" si="23"/>
        <v>0</v>
      </c>
      <c r="O94" s="12"/>
      <c r="P94" s="8">
        <v>2665.11</v>
      </c>
      <c r="Q94" s="3"/>
      <c r="R94" s="7">
        <f t="shared" si="24"/>
        <v>3.0861348551176931E-4</v>
      </c>
      <c r="S94" s="3"/>
      <c r="T94" s="8"/>
      <c r="U94" s="3"/>
      <c r="V94" s="7">
        <f t="shared" si="25"/>
        <v>0</v>
      </c>
      <c r="W94" s="3"/>
      <c r="X94" s="8">
        <f t="shared" si="26"/>
        <v>2665.11</v>
      </c>
      <c r="Y94" s="3"/>
      <c r="Z94" s="7">
        <f t="shared" si="27"/>
        <v>0</v>
      </c>
    </row>
    <row r="95" spans="1:26" s="69" customFormat="1" ht="15" hidden="1" customHeight="1" outlineLevel="2" x14ac:dyDescent="0.3">
      <c r="A95" s="26"/>
      <c r="B95" s="12" t="str">
        <f>CONCATENATE("          ","6248"," - ","UNIFORMS")</f>
        <v xml:space="preserve">          6248 - UNIFORMS</v>
      </c>
      <c r="C95" s="12"/>
      <c r="D95" s="8">
        <v>1522.25</v>
      </c>
      <c r="E95" s="3"/>
      <c r="F95" s="7">
        <f t="shared" si="20"/>
        <v>9.4724074697466953E-4</v>
      </c>
      <c r="G95" s="3"/>
      <c r="H95" s="8"/>
      <c r="I95" s="3"/>
      <c r="J95" s="7">
        <f t="shared" si="21"/>
        <v>0</v>
      </c>
      <c r="K95" s="3"/>
      <c r="L95" s="8">
        <f t="shared" si="22"/>
        <v>1522.25</v>
      </c>
      <c r="M95" s="3"/>
      <c r="N95" s="7">
        <f t="shared" si="23"/>
        <v>0</v>
      </c>
      <c r="O95" s="12"/>
      <c r="P95" s="8">
        <v>7735.73</v>
      </c>
      <c r="Q95" s="3"/>
      <c r="R95" s="7">
        <f t="shared" si="24"/>
        <v>8.9577938557056135E-4</v>
      </c>
      <c r="S95" s="3"/>
      <c r="T95" s="8">
        <v>4500.59</v>
      </c>
      <c r="U95" s="3"/>
      <c r="V95" s="7">
        <f t="shared" si="25"/>
        <v>4.1454807407883517E-3</v>
      </c>
      <c r="W95" s="3"/>
      <c r="X95" s="8">
        <f t="shared" si="26"/>
        <v>3235.1399999999994</v>
      </c>
      <c r="Y95" s="3"/>
      <c r="Z95" s="7">
        <f t="shared" si="27"/>
        <v>0.71882575395670334</v>
      </c>
    </row>
    <row r="96" spans="1:26" s="68" customFormat="1" ht="15" customHeight="1" outlineLevel="1" collapsed="1" x14ac:dyDescent="0.3">
      <c r="A96" s="25"/>
      <c r="B96" s="14" t="str">
        <f>CONCATENATE("     ","Telephone/Data Lines                              ")</f>
        <v xml:space="preserve">     Telephone/Data Lines                              </v>
      </c>
      <c r="C96" s="14"/>
      <c r="D96" s="2">
        <f>SUM(OSRRefD22_20x_0)</f>
        <v>1396.8</v>
      </c>
      <c r="E96" s="2"/>
      <c r="F96" s="6">
        <f t="shared" si="20"/>
        <v>8.6917777984839436E-4</v>
      </c>
      <c r="G96" s="2"/>
      <c r="H96" s="2">
        <f>SUM(OSRRefH22_20x_0)</f>
        <v>546.14</v>
      </c>
      <c r="I96" s="2"/>
      <c r="J96" s="6">
        <f t="shared" si="21"/>
        <v>4.0568011587294945E-3</v>
      </c>
      <c r="K96" s="2"/>
      <c r="L96" s="2">
        <f t="shared" si="22"/>
        <v>850.66</v>
      </c>
      <c r="M96" s="2"/>
      <c r="N96" s="6">
        <f t="shared" si="23"/>
        <v>1.5575859669681766</v>
      </c>
      <c r="O96" s="14"/>
      <c r="P96" s="2">
        <f>SUM(OSRRefP22_20x_0)</f>
        <v>10982.24</v>
      </c>
      <c r="Q96" s="2"/>
      <c r="R96" s="6">
        <f t="shared" si="24"/>
        <v>1.2717176270873522E-3</v>
      </c>
      <c r="S96" s="2"/>
      <c r="T96" s="2">
        <f>SUM(OSRRefT22_20x_0)</f>
        <v>9476.73</v>
      </c>
      <c r="U96" s="2"/>
      <c r="V96" s="6">
        <f t="shared" si="25"/>
        <v>8.7289892437771906E-3</v>
      </c>
      <c r="W96" s="2"/>
      <c r="X96" s="2">
        <f t="shared" si="26"/>
        <v>1505.5100000000002</v>
      </c>
      <c r="Y96" s="2"/>
      <c r="Z96" s="6">
        <f t="shared" si="27"/>
        <v>0.15886386971033259</v>
      </c>
    </row>
    <row r="97" spans="1:26" s="69" customFormat="1" ht="15" hidden="1" customHeight="1" outlineLevel="2" x14ac:dyDescent="0.3">
      <c r="A97" s="26"/>
      <c r="B97" s="12" t="str">
        <f>CONCATENATE("          ","6309"," - ","TELEPHONE")</f>
        <v xml:space="preserve">          6309 - TELEPHONE</v>
      </c>
      <c r="C97" s="12"/>
      <c r="D97" s="8">
        <v>1396.8</v>
      </c>
      <c r="E97" s="3"/>
      <c r="F97" s="7">
        <f t="shared" si="20"/>
        <v>8.6917777984839436E-4</v>
      </c>
      <c r="G97" s="3"/>
      <c r="H97" s="8">
        <v>546.14</v>
      </c>
      <c r="I97" s="3"/>
      <c r="J97" s="7">
        <f t="shared" si="21"/>
        <v>4.0568011587294945E-3</v>
      </c>
      <c r="K97" s="3"/>
      <c r="L97" s="8">
        <f t="shared" si="22"/>
        <v>850.66</v>
      </c>
      <c r="M97" s="3"/>
      <c r="N97" s="7">
        <f t="shared" si="23"/>
        <v>1.5575859669681766</v>
      </c>
      <c r="O97" s="12"/>
      <c r="P97" s="8">
        <v>10982.24</v>
      </c>
      <c r="Q97" s="3"/>
      <c r="R97" s="7">
        <f t="shared" si="24"/>
        <v>1.2717176270873522E-3</v>
      </c>
      <c r="S97" s="3"/>
      <c r="T97" s="8">
        <v>9476.73</v>
      </c>
      <c r="U97" s="3"/>
      <c r="V97" s="7">
        <f t="shared" si="25"/>
        <v>8.7289892437771906E-3</v>
      </c>
      <c r="W97" s="3"/>
      <c r="X97" s="8">
        <f t="shared" si="26"/>
        <v>1505.5100000000002</v>
      </c>
      <c r="Y97" s="3"/>
      <c r="Z97" s="7">
        <f t="shared" si="27"/>
        <v>0.15886386971033259</v>
      </c>
    </row>
    <row r="98" spans="1:26" s="68" customFormat="1" ht="15" customHeight="1" outlineLevel="1" collapsed="1" x14ac:dyDescent="0.3">
      <c r="A98" s="25"/>
      <c r="B98" s="14" t="str">
        <f>CONCATENATE("     ","Training                                          ")</f>
        <v xml:space="preserve">     Training                                          </v>
      </c>
      <c r="C98" s="14"/>
      <c r="D98" s="2">
        <f>SUM(OSRRefD22_21x_0)</f>
        <v>4480</v>
      </c>
      <c r="E98" s="2"/>
      <c r="F98" s="6">
        <f t="shared" si="20"/>
        <v>2.7877408746569353E-3</v>
      </c>
      <c r="G98" s="2"/>
      <c r="H98" s="2">
        <f>SUM(OSRRefH22_21x_0)</f>
        <v>0</v>
      </c>
      <c r="I98" s="2"/>
      <c r="J98" s="6">
        <f t="shared" si="21"/>
        <v>0</v>
      </c>
      <c r="K98" s="2"/>
      <c r="L98" s="2">
        <f t="shared" si="22"/>
        <v>4480</v>
      </c>
      <c r="M98" s="2"/>
      <c r="N98" s="6">
        <f t="shared" si="23"/>
        <v>0</v>
      </c>
      <c r="O98" s="14"/>
      <c r="P98" s="2">
        <f>SUM(OSRRefP22_21x_0)</f>
        <v>5873.87</v>
      </c>
      <c r="Q98" s="2"/>
      <c r="R98" s="6">
        <f t="shared" si="24"/>
        <v>6.8018036559204542E-4</v>
      </c>
      <c r="S98" s="2"/>
      <c r="T98" s="2">
        <f>SUM(OSRRefT22_21x_0)</f>
        <v>1135</v>
      </c>
      <c r="U98" s="2"/>
      <c r="V98" s="6">
        <f t="shared" si="25"/>
        <v>1.045445295126812E-3</v>
      </c>
      <c r="W98" s="2"/>
      <c r="X98" s="2">
        <f t="shared" si="26"/>
        <v>4738.87</v>
      </c>
      <c r="Y98" s="2"/>
      <c r="Z98" s="6">
        <f t="shared" si="27"/>
        <v>4.1752158590308373</v>
      </c>
    </row>
    <row r="99" spans="1:26" s="69" customFormat="1" ht="15" hidden="1" customHeight="1" outlineLevel="2" x14ac:dyDescent="0.3">
      <c r="A99" s="26"/>
      <c r="B99" s="12" t="str">
        <f>CONCATENATE("          ","6376"," - ","TRAINING")</f>
        <v xml:space="preserve">          6376 - TRAINING</v>
      </c>
      <c r="C99" s="12"/>
      <c r="D99" s="8">
        <v>4480</v>
      </c>
      <c r="E99" s="3"/>
      <c r="F99" s="7">
        <f t="shared" si="20"/>
        <v>2.7877408746569353E-3</v>
      </c>
      <c r="G99" s="3"/>
      <c r="H99" s="8"/>
      <c r="I99" s="3"/>
      <c r="J99" s="7">
        <f t="shared" si="21"/>
        <v>0</v>
      </c>
      <c r="K99" s="3"/>
      <c r="L99" s="8">
        <f t="shared" si="22"/>
        <v>4480</v>
      </c>
      <c r="M99" s="3"/>
      <c r="N99" s="7">
        <f t="shared" si="23"/>
        <v>0</v>
      </c>
      <c r="O99" s="12"/>
      <c r="P99" s="8">
        <v>5873.87</v>
      </c>
      <c r="Q99" s="3"/>
      <c r="R99" s="7">
        <f t="shared" si="24"/>
        <v>6.8018036559204542E-4</v>
      </c>
      <c r="S99" s="3"/>
      <c r="T99" s="8">
        <v>1135</v>
      </c>
      <c r="U99" s="3"/>
      <c r="V99" s="7">
        <f t="shared" si="25"/>
        <v>1.045445295126812E-3</v>
      </c>
      <c r="W99" s="3"/>
      <c r="X99" s="8">
        <f t="shared" si="26"/>
        <v>4738.87</v>
      </c>
      <c r="Y99" s="3"/>
      <c r="Z99" s="7">
        <f t="shared" si="27"/>
        <v>4.1752158590308373</v>
      </c>
    </row>
    <row r="100" spans="1:26" s="68" customFormat="1" ht="15" customHeight="1" outlineLevel="1" collapsed="1" x14ac:dyDescent="0.3">
      <c r="A100" s="25"/>
      <c r="B100" s="14" t="str">
        <f>CONCATENATE("     ","Travel                                            ")</f>
        <v xml:space="preserve">     Travel                                            </v>
      </c>
      <c r="C100" s="14"/>
      <c r="D100" s="2">
        <f>SUM(OSRRefD22_22x_0)</f>
        <v>122.65</v>
      </c>
      <c r="E100" s="2"/>
      <c r="F100" s="6">
        <f t="shared" si="20"/>
        <v>7.6320629079614533E-5</v>
      </c>
      <c r="G100" s="2"/>
      <c r="H100" s="2">
        <f>SUM(OSRRefH22_22x_0)</f>
        <v>0</v>
      </c>
      <c r="I100" s="2"/>
      <c r="J100" s="6">
        <f t="shared" si="21"/>
        <v>0</v>
      </c>
      <c r="K100" s="2"/>
      <c r="L100" s="2">
        <f t="shared" si="22"/>
        <v>122.65</v>
      </c>
      <c r="M100" s="2"/>
      <c r="N100" s="6">
        <f t="shared" si="23"/>
        <v>0</v>
      </c>
      <c r="O100" s="14"/>
      <c r="P100" s="2">
        <f>SUM(OSRRefP22_22x_0)</f>
        <v>840.26</v>
      </c>
      <c r="Q100" s="2"/>
      <c r="R100" s="6">
        <f t="shared" si="24"/>
        <v>9.7300136705846764E-5</v>
      </c>
      <c r="S100" s="2"/>
      <c r="T100" s="2">
        <f>SUM(OSRRefT22_22x_0)</f>
        <v>332.21</v>
      </c>
      <c r="U100" s="2"/>
      <c r="V100" s="6">
        <f t="shared" si="25"/>
        <v>3.0599769294632436E-4</v>
      </c>
      <c r="W100" s="2"/>
      <c r="X100" s="2">
        <f t="shared" si="26"/>
        <v>508.05</v>
      </c>
      <c r="Y100" s="2"/>
      <c r="Z100" s="6">
        <f t="shared" si="27"/>
        <v>1.5293037536498</v>
      </c>
    </row>
    <row r="101" spans="1:26" s="69" customFormat="1" ht="15" hidden="1" customHeight="1" outlineLevel="2" x14ac:dyDescent="0.3">
      <c r="A101" s="26"/>
      <c r="B101" s="12" t="str">
        <f>CONCATENATE("          ","6292"," - ","TRAVEL/CONFERENCE")</f>
        <v xml:space="preserve">          6292 - TRAVEL/CONFERENCE</v>
      </c>
      <c r="C101" s="12"/>
      <c r="D101" s="8"/>
      <c r="E101" s="3"/>
      <c r="F101" s="7">
        <f t="shared" si="20"/>
        <v>0</v>
      </c>
      <c r="G101" s="3"/>
      <c r="H101" s="8"/>
      <c r="I101" s="3"/>
      <c r="J101" s="7">
        <f t="shared" si="21"/>
        <v>0</v>
      </c>
      <c r="K101" s="3"/>
      <c r="L101" s="8">
        <f t="shared" si="22"/>
        <v>0</v>
      </c>
      <c r="M101" s="3"/>
      <c r="N101" s="7">
        <f t="shared" si="23"/>
        <v>0</v>
      </c>
      <c r="O101" s="12"/>
      <c r="P101" s="8">
        <v>613.59</v>
      </c>
      <c r="Q101" s="3"/>
      <c r="R101" s="7">
        <f t="shared" si="24"/>
        <v>7.1052282485588412E-5</v>
      </c>
      <c r="S101" s="3"/>
      <c r="T101" s="8"/>
      <c r="U101" s="3"/>
      <c r="V101" s="7">
        <f t="shared" si="25"/>
        <v>0</v>
      </c>
      <c r="W101" s="3"/>
      <c r="X101" s="8">
        <f t="shared" si="26"/>
        <v>613.59</v>
      </c>
      <c r="Y101" s="3"/>
      <c r="Z101" s="7">
        <f t="shared" si="27"/>
        <v>0</v>
      </c>
    </row>
    <row r="102" spans="1:26" s="69" customFormat="1" ht="15" hidden="1" customHeight="1" outlineLevel="2" x14ac:dyDescent="0.3">
      <c r="A102" s="26"/>
      <c r="B102" s="12" t="str">
        <f>CONCATENATE("          ","6298"," - ","VEHICLE MILEAGE")</f>
        <v xml:space="preserve">          6298 - VEHICLE MILEAGE</v>
      </c>
      <c r="C102" s="12"/>
      <c r="D102" s="8">
        <v>122.65</v>
      </c>
      <c r="E102" s="3"/>
      <c r="F102" s="7">
        <f t="shared" si="20"/>
        <v>7.6320629079614533E-5</v>
      </c>
      <c r="G102" s="3"/>
      <c r="H102" s="8"/>
      <c r="I102" s="3"/>
      <c r="J102" s="7">
        <f t="shared" si="21"/>
        <v>0</v>
      </c>
      <c r="K102" s="3"/>
      <c r="L102" s="8">
        <f t="shared" si="22"/>
        <v>122.65</v>
      </c>
      <c r="M102" s="3"/>
      <c r="N102" s="7">
        <f t="shared" si="23"/>
        <v>0</v>
      </c>
      <c r="O102" s="12"/>
      <c r="P102" s="8">
        <v>226.67</v>
      </c>
      <c r="Q102" s="3"/>
      <c r="R102" s="7">
        <f t="shared" si="24"/>
        <v>2.6247854220258352E-5</v>
      </c>
      <c r="S102" s="3"/>
      <c r="T102" s="8">
        <v>332.21</v>
      </c>
      <c r="U102" s="3"/>
      <c r="V102" s="7">
        <f t="shared" si="25"/>
        <v>3.0599769294632436E-4</v>
      </c>
      <c r="W102" s="3"/>
      <c r="X102" s="8">
        <f t="shared" si="26"/>
        <v>-105.53999999999999</v>
      </c>
      <c r="Y102" s="3"/>
      <c r="Z102" s="7">
        <f t="shared" si="27"/>
        <v>-0.31769061738057253</v>
      </c>
    </row>
    <row r="103" spans="1:26" s="68" customFormat="1" ht="15" customHeight="1" outlineLevel="1" collapsed="1" x14ac:dyDescent="0.3">
      <c r="A103" s="25"/>
      <c r="B103" s="14" t="str">
        <f>CONCATENATE("     ","Utilities                                         ")</f>
        <v xml:space="preserve">     Utilities                                         </v>
      </c>
      <c r="C103" s="14"/>
      <c r="D103" s="2">
        <f>SUM(OSRRefD22_23x_0)</f>
        <v>8150</v>
      </c>
      <c r="E103" s="2"/>
      <c r="F103" s="6">
        <f t="shared" si="20"/>
        <v>5.0714482429584868E-3</v>
      </c>
      <c r="G103" s="2"/>
      <c r="H103" s="2">
        <f>SUM(OSRRefH22_23x_0)</f>
        <v>3660</v>
      </c>
      <c r="I103" s="2"/>
      <c r="J103" s="6">
        <f t="shared" si="21"/>
        <v>2.7186970815083956E-2</v>
      </c>
      <c r="K103" s="2"/>
      <c r="L103" s="2">
        <f t="shared" si="22"/>
        <v>4490</v>
      </c>
      <c r="M103" s="2"/>
      <c r="N103" s="6">
        <f t="shared" si="23"/>
        <v>1.2267759562841529</v>
      </c>
      <c r="O103" s="14"/>
      <c r="P103" s="2">
        <f>SUM(OSRRefP22_23x_0)</f>
        <v>62800</v>
      </c>
      <c r="Q103" s="2"/>
      <c r="R103" s="6">
        <f t="shared" si="24"/>
        <v>7.2720926678970519E-3</v>
      </c>
      <c r="S103" s="2"/>
      <c r="T103" s="2">
        <f>SUM(OSRRefT22_23x_0)</f>
        <v>8312</v>
      </c>
      <c r="U103" s="2"/>
      <c r="V103" s="6">
        <f t="shared" si="25"/>
        <v>7.6561597295982916E-3</v>
      </c>
      <c r="W103" s="2"/>
      <c r="X103" s="2">
        <f t="shared" si="26"/>
        <v>54488</v>
      </c>
      <c r="Y103" s="2"/>
      <c r="Z103" s="6">
        <f t="shared" si="27"/>
        <v>6.5553416746871989</v>
      </c>
    </row>
    <row r="104" spans="1:26" s="69" customFormat="1" ht="15" hidden="1" customHeight="1" outlineLevel="2" x14ac:dyDescent="0.3">
      <c r="A104" s="26"/>
      <c r="B104" s="12" t="str">
        <f>CONCATENATE("          ","6274"," - ","UTILITIES")</f>
        <v xml:space="preserve">          6274 - UTILITIES</v>
      </c>
      <c r="C104" s="12"/>
      <c r="D104" s="8">
        <v>8150</v>
      </c>
      <c r="E104" s="3"/>
      <c r="F104" s="7">
        <f t="shared" si="20"/>
        <v>5.0714482429584868E-3</v>
      </c>
      <c r="G104" s="3"/>
      <c r="H104" s="8">
        <v>3660</v>
      </c>
      <c r="I104" s="3"/>
      <c r="J104" s="7">
        <f t="shared" si="21"/>
        <v>2.7186970815083956E-2</v>
      </c>
      <c r="K104" s="3"/>
      <c r="L104" s="8">
        <f t="shared" si="22"/>
        <v>4490</v>
      </c>
      <c r="M104" s="3"/>
      <c r="N104" s="7">
        <f t="shared" si="23"/>
        <v>1.2267759562841529</v>
      </c>
      <c r="O104" s="12"/>
      <c r="P104" s="8">
        <v>62800</v>
      </c>
      <c r="Q104" s="3"/>
      <c r="R104" s="7">
        <f t="shared" si="24"/>
        <v>7.2720926678970519E-3</v>
      </c>
      <c r="S104" s="3"/>
      <c r="T104" s="8">
        <v>8312</v>
      </c>
      <c r="U104" s="3"/>
      <c r="V104" s="7">
        <f t="shared" si="25"/>
        <v>7.6561597295982916E-3</v>
      </c>
      <c r="W104" s="3"/>
      <c r="X104" s="8">
        <f t="shared" si="26"/>
        <v>54488</v>
      </c>
      <c r="Y104" s="3"/>
      <c r="Z104" s="7">
        <f t="shared" si="27"/>
        <v>6.5553416746871989</v>
      </c>
    </row>
    <row r="105" spans="1:26" s="64" customFormat="1" ht="15" customHeight="1" x14ac:dyDescent="0.3">
      <c r="A105" s="36"/>
      <c r="B105" s="36"/>
      <c r="C105" s="36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O105" s="36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s="62" customFormat="1" ht="15" customHeight="1" collapsed="1" x14ac:dyDescent="0.3">
      <c r="A106" s="11"/>
      <c r="B106" s="27" t="s">
        <v>290</v>
      </c>
      <c r="C106" s="11"/>
      <c r="D106" s="5">
        <f>SUM(OSRRefD25x_0)</f>
        <v>2073.62</v>
      </c>
      <c r="E106" s="5"/>
      <c r="F106" s="13">
        <f>IF(D$12=0,0,D106/D$12)</f>
        <v>1.2903382215415432E-3</v>
      </c>
      <c r="G106" s="5"/>
      <c r="H106" s="5">
        <f>SUM(OSRRefH25x_0)</f>
        <v>1400.8799999999999</v>
      </c>
      <c r="I106" s="5"/>
      <c r="J106" s="13">
        <f>IF(H$12=0,0,H106/H$12)</f>
        <v>1.040592450148492E-2</v>
      </c>
      <c r="K106" s="5"/>
      <c r="L106" s="5">
        <f>+D106-H106</f>
        <v>672.74</v>
      </c>
      <c r="M106" s="5"/>
      <c r="N106" s="13">
        <f>IF(H106=0,0,L106/H106)</f>
        <v>0.48022671463651423</v>
      </c>
      <c r="O106" s="11"/>
      <c r="P106" s="5">
        <f>SUM(OSRRefP25x_0)</f>
        <v>143215.47</v>
      </c>
      <c r="Q106" s="5"/>
      <c r="R106" s="13">
        <f>IF(P$12=0,0,P106/P$12)</f>
        <v>1.6584015434975001E-2</v>
      </c>
      <c r="S106" s="5"/>
      <c r="T106" s="5">
        <f>SUM(OSRRefT25x_0)</f>
        <v>17749.219999999998</v>
      </c>
      <c r="U106" s="5"/>
      <c r="V106" s="13">
        <f>IF(T$12=0,0,T106/T$12)</f>
        <v>1.6348756423938952E-2</v>
      </c>
      <c r="W106" s="5"/>
      <c r="X106" s="5">
        <f>+P106-T106</f>
        <v>125466.25</v>
      </c>
      <c r="Y106" s="5"/>
      <c r="Z106" s="13">
        <f>IF(T106=0,0,X106/T106)</f>
        <v>7.068831757113835</v>
      </c>
    </row>
    <row r="107" spans="1:26" s="69" customFormat="1" ht="15" hidden="1" customHeight="1" outlineLevel="1" x14ac:dyDescent="0.3">
      <c r="A107" s="42"/>
      <c r="B107" s="12" t="str">
        <f>CONCATENATE("          ","9150"," - ","MISC. INCOME")</f>
        <v xml:space="preserve">          9150 - MISC. INCOME</v>
      </c>
      <c r="C107" s="12"/>
      <c r="D107" s="3">
        <f>--2073.62</f>
        <v>2073.62</v>
      </c>
      <c r="E107" s="3"/>
      <c r="F107" s="20">
        <f>IF(D$12=0,0,D107/D$12)</f>
        <v>1.2903382215415432E-3</v>
      </c>
      <c r="G107" s="3"/>
      <c r="H107" s="3">
        <f>0</f>
        <v>0</v>
      </c>
      <c r="I107" s="3"/>
      <c r="J107" s="20">
        <f>IF(H$12=0,0,H107/H$12)</f>
        <v>0</v>
      </c>
      <c r="K107" s="3"/>
      <c r="L107" s="3">
        <f>+D107-H107</f>
        <v>2073.62</v>
      </c>
      <c r="M107" s="3"/>
      <c r="N107" s="20">
        <f>IF(H107=0,0,L107/H107)</f>
        <v>0</v>
      </c>
      <c r="O107" s="12"/>
      <c r="P107" s="3">
        <f>--143215.47</f>
        <v>143215.47</v>
      </c>
      <c r="Q107" s="3"/>
      <c r="R107" s="20">
        <f>IF(P$12=0,0,P107/P$12)</f>
        <v>1.6584015434975001E-2</v>
      </c>
      <c r="S107" s="3"/>
      <c r="T107" s="3">
        <f>--1728.05</f>
        <v>1728.05</v>
      </c>
      <c r="U107" s="3"/>
      <c r="V107" s="20">
        <f>IF(T$12=0,0,T107/T$12)</f>
        <v>1.5917019755452753E-3</v>
      </c>
      <c r="W107" s="3"/>
      <c r="X107" s="3">
        <f>+P107-T107</f>
        <v>141487.42000000001</v>
      </c>
      <c r="Y107" s="3"/>
      <c r="Z107" s="20">
        <f>IF(T107=0,0,X107/T107)</f>
        <v>81.876924857498352</v>
      </c>
    </row>
    <row r="108" spans="1:26" s="69" customFormat="1" ht="15" hidden="1" customHeight="1" outlineLevel="1" x14ac:dyDescent="0.3">
      <c r="A108" s="42"/>
      <c r="B108" s="12" t="str">
        <f>CONCATENATE("          ","9160"," - ","MISC. INCOME")</f>
        <v xml:space="preserve">          9160 - MISC. INCOME</v>
      </c>
      <c r="C108" s="12"/>
      <c r="D108" s="3">
        <f>0</f>
        <v>0</v>
      </c>
      <c r="E108" s="3"/>
      <c r="F108" s="20">
        <f>IF(D$12=0,0,D108/D$12)</f>
        <v>0</v>
      </c>
      <c r="G108" s="3"/>
      <c r="H108" s="3">
        <f>--364.79</f>
        <v>364.79</v>
      </c>
      <c r="I108" s="3"/>
      <c r="J108" s="20">
        <f>IF(H$12=0,0,H108/H$12)</f>
        <v>2.7097090392443927E-3</v>
      </c>
      <c r="K108" s="3"/>
      <c r="L108" s="3">
        <f>+D108-H108</f>
        <v>-364.79</v>
      </c>
      <c r="M108" s="3"/>
      <c r="N108" s="20">
        <f>IF(H108=0,0,L108/H108)</f>
        <v>-1</v>
      </c>
      <c r="O108" s="12"/>
      <c r="P108" s="3">
        <f>0</f>
        <v>0</v>
      </c>
      <c r="Q108" s="3"/>
      <c r="R108" s="20">
        <f>IF(P$12=0,0,P108/P$12)</f>
        <v>0</v>
      </c>
      <c r="S108" s="3"/>
      <c r="T108" s="3">
        <f>--12882.96</f>
        <v>12882.96</v>
      </c>
      <c r="U108" s="3"/>
      <c r="V108" s="20">
        <f>IF(T$12=0,0,T108/T$12)</f>
        <v>1.1866458078684505E-2</v>
      </c>
      <c r="W108" s="3"/>
      <c r="X108" s="3">
        <f>+P108-T108</f>
        <v>-12882.96</v>
      </c>
      <c r="Y108" s="3"/>
      <c r="Z108" s="20">
        <f>IF(T108=0,0,X108/T108)</f>
        <v>-1</v>
      </c>
    </row>
    <row r="109" spans="1:26" s="69" customFormat="1" ht="15" hidden="1" customHeight="1" outlineLevel="1" x14ac:dyDescent="0.3">
      <c r="A109" s="42"/>
      <c r="B109" s="12" t="str">
        <f>CONCATENATE("          ","9165"," - ","OTHER INCOME")</f>
        <v xml:space="preserve">          9165 - OTHER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>
        <f>--1036.09</f>
        <v>1036.0899999999999</v>
      </c>
      <c r="I109" s="3"/>
      <c r="J109" s="20">
        <f>IF(H$12=0,0,H109/H$12)</f>
        <v>7.6962154622405281E-3</v>
      </c>
      <c r="K109" s="3"/>
      <c r="L109" s="3">
        <f>+D109-H109</f>
        <v>-1036.0899999999999</v>
      </c>
      <c r="M109" s="3"/>
      <c r="N109" s="20">
        <f>IF(H109=0,0,L109/H109)</f>
        <v>-1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f>--3138.21</f>
        <v>3138.21</v>
      </c>
      <c r="U109" s="3"/>
      <c r="V109" s="20">
        <f>IF(T$12=0,0,T109/T$12)</f>
        <v>2.8905963697091739E-3</v>
      </c>
      <c r="W109" s="3"/>
      <c r="X109" s="3">
        <f>+P109-T109</f>
        <v>-3138.21</v>
      </c>
      <c r="Y109" s="3"/>
      <c r="Z109" s="20">
        <f>IF(T109=0,0,X109/T109)</f>
        <v>-1</v>
      </c>
    </row>
    <row r="110" spans="1:26" ht="15" customHeight="1" x14ac:dyDescent="0.3">
      <c r="A110" s="10"/>
      <c r="B110" s="11"/>
      <c r="C110" s="11"/>
      <c r="D110" s="4"/>
      <c r="E110" s="4"/>
      <c r="F110" s="9"/>
      <c r="G110" s="4"/>
      <c r="H110" s="4"/>
      <c r="I110" s="4"/>
      <c r="J110" s="9"/>
      <c r="K110" s="4"/>
      <c r="L110" s="4"/>
      <c r="M110" s="4"/>
      <c r="N110" s="9"/>
      <c r="O110" s="11"/>
      <c r="P110" s="4"/>
      <c r="Q110" s="4"/>
      <c r="R110" s="9"/>
      <c r="S110" s="4"/>
      <c r="T110" s="4"/>
      <c r="U110" s="4"/>
      <c r="V110" s="9"/>
      <c r="W110" s="4"/>
      <c r="X110" s="4"/>
      <c r="Y110" s="4"/>
      <c r="Z110" s="9"/>
    </row>
    <row r="111" spans="1:26" s="62" customFormat="1" ht="15" customHeight="1" x14ac:dyDescent="0.3">
      <c r="A111" s="11"/>
      <c r="B111" s="28" t="s">
        <v>291</v>
      </c>
      <c r="C111" s="28"/>
      <c r="D111" s="23">
        <f>+D24-D26+D106</f>
        <v>490986.60999999975</v>
      </c>
      <c r="E111" s="15"/>
      <c r="F111" s="22">
        <f>IF(D$12=0,0,D111/D$12)</f>
        <v>0.30552308964425062</v>
      </c>
      <c r="G111" s="15"/>
      <c r="H111" s="23">
        <f>+H24-H26+H106</f>
        <v>-221325.27999999988</v>
      </c>
      <c r="I111" s="15"/>
      <c r="J111" s="22">
        <f>IF(H$12=0,0,H111/H$12)</f>
        <v>-1.6440338601093665</v>
      </c>
      <c r="K111" s="17"/>
      <c r="L111" s="23">
        <f>+D111-H111</f>
        <v>712311.88999999966</v>
      </c>
      <c r="M111" s="17"/>
      <c r="N111" s="22">
        <f>IF(H111=0,0,L111/H111)</f>
        <v>-3.2183937144459955</v>
      </c>
      <c r="O111" s="27"/>
      <c r="P111" s="23">
        <f>+P24-P26+P106</f>
        <v>1520673.099999998</v>
      </c>
      <c r="Q111" s="15"/>
      <c r="R111" s="22">
        <f>IF(P$12=0,0,P111/P$12)</f>
        <v>0.17609037740092778</v>
      </c>
      <c r="S111" s="15"/>
      <c r="T111" s="23">
        <f>+T24-T26+T106</f>
        <v>-1929158.41</v>
      </c>
      <c r="U111" s="15"/>
      <c r="V111" s="22">
        <f>IF(T$12=0,0,T111/T$12)</f>
        <v>-1.7769423641311199</v>
      </c>
      <c r="W111" s="17"/>
      <c r="X111" s="23">
        <f>+P111-T111</f>
        <v>3449831.5099999979</v>
      </c>
      <c r="Y111" s="17"/>
      <c r="Z111" s="22">
        <f>IF(T111=0,0,X111/T111)</f>
        <v>-1.7882572484029438</v>
      </c>
    </row>
    <row r="112" spans="1:26" ht="15" customHeight="1" x14ac:dyDescent="0.3">
      <c r="A112" s="10"/>
      <c r="B112" s="11"/>
      <c r="C112" s="10"/>
      <c r="D112" s="4"/>
      <c r="E112" s="4"/>
      <c r="F112" s="9"/>
      <c r="G112" s="4"/>
      <c r="H112" s="4"/>
      <c r="I112" s="4"/>
      <c r="J112" s="9"/>
      <c r="K112" s="4"/>
      <c r="L112" s="4"/>
      <c r="M112" s="4"/>
      <c r="N112" s="9"/>
      <c r="P112" s="4"/>
      <c r="Q112" s="4"/>
      <c r="R112" s="9"/>
      <c r="S112" s="4"/>
      <c r="T112" s="4"/>
      <c r="U112" s="4"/>
      <c r="V112" s="9"/>
      <c r="W112" s="4"/>
      <c r="X112" s="4"/>
      <c r="Y112" s="4"/>
      <c r="Z112" s="9"/>
    </row>
    <row r="113" spans="1:26" s="62" customFormat="1" ht="15" customHeight="1" x14ac:dyDescent="0.3">
      <c r="A113" s="48"/>
      <c r="B113" s="11" t="s">
        <v>292</v>
      </c>
      <c r="C113" s="11"/>
      <c r="D113" s="5">
        <v>147565.12</v>
      </c>
      <c r="E113" s="5"/>
      <c r="F113" s="13">
        <f>IF(D$12=0,0,D113/D$12)</f>
        <v>9.1824401048583831E-2</v>
      </c>
      <c r="G113" s="5"/>
      <c r="H113" s="5">
        <v>42361.22</v>
      </c>
      <c r="I113" s="5"/>
      <c r="J113" s="13">
        <f>IF(H$12=0,0,H113/H$12)</f>
        <v>0.31466482290474068</v>
      </c>
      <c r="K113" s="5"/>
      <c r="L113" s="5">
        <f>+D113-H113</f>
        <v>105203.9</v>
      </c>
      <c r="M113" s="5"/>
      <c r="N113" s="13">
        <f>IF(H113=0,0,L113/H113)</f>
        <v>2.4834955178344722</v>
      </c>
      <c r="O113" s="11"/>
      <c r="P113" s="5">
        <v>1077938.0900000001</v>
      </c>
      <c r="Q113" s="5"/>
      <c r="R113" s="13">
        <f>IF(P$12=0,0,P113/P$12)</f>
        <v>0.12482270192254702</v>
      </c>
      <c r="S113" s="5"/>
      <c r="T113" s="5">
        <v>214999.88</v>
      </c>
      <c r="U113" s="5"/>
      <c r="V113" s="13">
        <f>IF(T$12=0,0,T113/T$12)</f>
        <v>0.19803578237782304</v>
      </c>
      <c r="W113" s="5"/>
      <c r="X113" s="5">
        <f>+P113-T113</f>
        <v>862938.21000000008</v>
      </c>
      <c r="Y113" s="5"/>
      <c r="Z113" s="13">
        <f>IF(T113=0,0,X113/T113)</f>
        <v>4.0136683332102328</v>
      </c>
    </row>
    <row r="114" spans="1:26" ht="15" customHeight="1" x14ac:dyDescent="0.3">
      <c r="A114" s="10"/>
      <c r="B114" s="11"/>
      <c r="C114" s="11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O114" s="11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2" customFormat="1" ht="15" customHeight="1" x14ac:dyDescent="0.3">
      <c r="A115" s="11"/>
      <c r="B115" s="28" t="s">
        <v>293</v>
      </c>
      <c r="C115" s="28"/>
      <c r="D115" s="33">
        <f>+D111-D113</f>
        <v>343421.48999999976</v>
      </c>
      <c r="E115" s="15"/>
      <c r="F115" s="34">
        <f>IF(D$12=0,0,D115/D$12)</f>
        <v>0.21369868859566679</v>
      </c>
      <c r="G115" s="15"/>
      <c r="H115" s="33">
        <f>+H111-H113</f>
        <v>-263686.49999999988</v>
      </c>
      <c r="I115" s="15"/>
      <c r="J115" s="34">
        <f>IF(H$12=0,0,H115/H$12)</f>
        <v>-1.9586986830141071</v>
      </c>
      <c r="K115" s="17"/>
      <c r="L115" s="33">
        <f>D115-H115</f>
        <v>607107.98999999964</v>
      </c>
      <c r="M115" s="17"/>
      <c r="N115" s="34">
        <f>IF(H115=0,0,L115/H115)</f>
        <v>-2.302385560125376</v>
      </c>
      <c r="O115" s="27"/>
      <c r="P115" s="33">
        <f>+P111-P113</f>
        <v>442735.00999999791</v>
      </c>
      <c r="Q115" s="15"/>
      <c r="R115" s="34">
        <f>IF(P$12=0,0,P115/P$12)</f>
        <v>5.1267675478380771E-2</v>
      </c>
      <c r="S115" s="15"/>
      <c r="T115" s="33">
        <f>+T111-T113</f>
        <v>-2144158.29</v>
      </c>
      <c r="U115" s="15"/>
      <c r="V115" s="34">
        <f>IF(T$12=0,0,T115/T$12)</f>
        <v>-1.9749781465089431</v>
      </c>
      <c r="W115" s="17"/>
      <c r="X115" s="33">
        <f>P115-T115</f>
        <v>2586893.299999998</v>
      </c>
      <c r="Y115" s="17"/>
      <c r="Z115" s="34">
        <f>IF(T115=0,0,X115/T115)</f>
        <v>-1.2064842936572551</v>
      </c>
    </row>
    <row r="116" spans="1:26" ht="15" customHeight="1" x14ac:dyDescent="0.3">
      <c r="A116" s="10"/>
      <c r="B116" s="10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ht="15" customHeight="1" x14ac:dyDescent="0.3">
      <c r="A117" s="10"/>
      <c r="B117" s="10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11"/>
      <c r="B118" s="28" t="s">
        <v>296</v>
      </c>
      <c r="C118" s="28"/>
      <c r="D118" s="35">
        <f>SUM(D115:D117)</f>
        <v>343421.48999999976</v>
      </c>
      <c r="E118" s="15"/>
      <c r="F118" s="29">
        <f>IF(D$12=0,0,D118/D$12)</f>
        <v>0.21369868859566679</v>
      </c>
      <c r="G118" s="15"/>
      <c r="H118" s="35">
        <f>SUM(H115:H117)</f>
        <v>-263686.49999999988</v>
      </c>
      <c r="I118" s="15"/>
      <c r="J118" s="29">
        <f>IF(H$12=0,0,H118/H$12)</f>
        <v>-1.9586986830141071</v>
      </c>
      <c r="K118" s="17"/>
      <c r="L118" s="35">
        <f>+D118-H118</f>
        <v>607107.98999999964</v>
      </c>
      <c r="M118" s="17"/>
      <c r="N118" s="29">
        <f>IF(H118=0,0,L118/H118)</f>
        <v>-2.302385560125376</v>
      </c>
      <c r="O118" s="27"/>
      <c r="P118" s="35">
        <f>SUM(P115:P117)</f>
        <v>442735.00999999791</v>
      </c>
      <c r="Q118" s="15"/>
      <c r="R118" s="29">
        <f>IF(P$12=0,0,P118/P$12)</f>
        <v>5.1267675478380771E-2</v>
      </c>
      <c r="S118" s="15"/>
      <c r="T118" s="35">
        <f>SUM(T115:T117)</f>
        <v>-2144158.29</v>
      </c>
      <c r="U118" s="15"/>
      <c r="V118" s="29">
        <f>IF(T$12=0,0,T118/T$12)</f>
        <v>-1.9749781465089431</v>
      </c>
      <c r="W118" s="17"/>
      <c r="X118" s="35">
        <f>+P118-T118</f>
        <v>2586893.299999998</v>
      </c>
      <c r="Y118" s="17"/>
      <c r="Z118" s="29">
        <f>IF(T118=0,0,X118/T118)</f>
        <v>-1.2064842936572551</v>
      </c>
    </row>
    <row r="119" spans="1:26" ht="15" customHeight="1" x14ac:dyDescent="0.3">
      <c r="A119" s="10"/>
      <c r="C119" s="10"/>
      <c r="D119" s="18"/>
      <c r="E119" s="18"/>
      <c r="G119" s="18"/>
      <c r="H119" s="18"/>
      <c r="I119" s="18"/>
      <c r="J119" s="41"/>
      <c r="K119" s="18"/>
      <c r="L119" s="18"/>
      <c r="M119" s="18"/>
      <c r="P119" s="18"/>
      <c r="Q119" s="18"/>
      <c r="R119" s="41"/>
      <c r="S119" s="18"/>
      <c r="T119" s="18"/>
      <c r="U119" s="18"/>
      <c r="V119" s="41"/>
      <c r="W119" s="18"/>
      <c r="X119" s="18"/>
    </row>
    <row r="120" spans="1:26" ht="15" customHeight="1" x14ac:dyDescent="0.3">
      <c r="A120" s="10"/>
      <c r="B120" s="50">
        <v>44634.887767280095</v>
      </c>
      <c r="D120" s="18"/>
      <c r="E120" s="18"/>
      <c r="G120" s="18"/>
      <c r="H120" s="18"/>
      <c r="I120" s="18"/>
      <c r="J120" s="41"/>
      <c r="K120" s="18"/>
      <c r="L120" s="18"/>
      <c r="M120" s="18"/>
      <c r="P120" s="18"/>
      <c r="Q120" s="18"/>
      <c r="R120" s="41"/>
      <c r="S120" s="18"/>
      <c r="T120" s="18"/>
      <c r="U120" s="18"/>
      <c r="V120" s="41"/>
      <c r="W120" s="18"/>
      <c r="X120" s="18"/>
    </row>
    <row r="121" spans="1:26" ht="15" customHeight="1" x14ac:dyDescent="0.3">
      <c r="A121" s="10"/>
      <c r="B121" s="58" t="s">
        <v>297</v>
      </c>
      <c r="D121" s="18"/>
      <c r="E121" s="18"/>
      <c r="G121" s="18"/>
      <c r="H121" s="18"/>
      <c r="I121" s="18"/>
      <c r="J121" s="41"/>
      <c r="K121" s="18"/>
      <c r="L121" s="18"/>
      <c r="M121" s="18"/>
      <c r="P121" s="18"/>
      <c r="Q121" s="18"/>
      <c r="R121" s="41"/>
      <c r="S121" s="18"/>
      <c r="T121" s="18"/>
      <c r="U121" s="18"/>
      <c r="V121" s="41"/>
      <c r="W121" s="18"/>
      <c r="X121" s="18"/>
    </row>
    <row r="122" spans="1:26" ht="15" customHeight="1" x14ac:dyDescent="0.3">
      <c r="A122" s="10"/>
      <c r="B122" s="56"/>
      <c r="D122" s="18"/>
      <c r="E122" s="18"/>
      <c r="G122" s="18"/>
      <c r="H122" s="18"/>
      <c r="I122" s="18"/>
      <c r="J122" s="41"/>
      <c r="K122" s="18"/>
      <c r="L122" s="18"/>
      <c r="M122" s="18"/>
      <c r="P122" s="18"/>
      <c r="Q122" s="18"/>
      <c r="R122" s="41"/>
      <c r="S122" s="18"/>
      <c r="T122" s="18"/>
      <c r="U122" s="18"/>
      <c r="V122" s="41"/>
      <c r="W122" s="18"/>
      <c r="X122" s="18"/>
    </row>
    <row r="123" spans="1:26" ht="15" customHeight="1" x14ac:dyDescent="0.3">
      <c r="D123" s="18"/>
      <c r="E123" s="18"/>
      <c r="G123" s="18"/>
      <c r="H123" s="18"/>
      <c r="I123" s="18"/>
      <c r="J123" s="41"/>
      <c r="K123" s="18"/>
      <c r="L123" s="18"/>
      <c r="M123" s="18"/>
      <c r="P123" s="18"/>
      <c r="Q123" s="18"/>
      <c r="R123" s="41"/>
      <c r="S123" s="18"/>
      <c r="T123" s="18"/>
      <c r="U123" s="18"/>
      <c r="V123" s="41"/>
      <c r="W123" s="18"/>
      <c r="X123" s="18"/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B49E1-4EAA-9B53-0911-60F4ED19A07F}">
  <sheetPr>
    <tabColor theme="5" tint="0.39997558519241921"/>
    <outlinePr summaryBelow="0" summaryRight="0"/>
  </sheetPr>
  <dimension ref="A2:Z12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310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310083.58</v>
      </c>
      <c r="E12" s="5"/>
      <c r="F12" s="13"/>
      <c r="G12" s="5"/>
      <c r="H12" s="5">
        <f>SUM(OSRRefH13x_0)</f>
        <v>50114.95</v>
      </c>
      <c r="I12" s="5"/>
      <c r="J12" s="13"/>
      <c r="K12" s="5"/>
      <c r="L12" s="5">
        <f t="shared" ref="L12:L25" si="0">+D12-H12</f>
        <v>259968.63</v>
      </c>
      <c r="M12" s="5"/>
      <c r="N12" s="13">
        <f t="shared" ref="N12:N25" si="1">IF(H12=0,0,L12/H12)</f>
        <v>5.1874466601283649</v>
      </c>
      <c r="O12" s="11"/>
      <c r="P12" s="5">
        <f>SUM(OSRRefP13x_0)</f>
        <v>993710.60000000009</v>
      </c>
      <c r="Q12" s="5"/>
      <c r="R12" s="13"/>
      <c r="S12" s="5"/>
      <c r="T12" s="5">
        <f>SUM(OSRRefT13x_0)</f>
        <v>328988.88</v>
      </c>
      <c r="U12" s="5"/>
      <c r="V12" s="13"/>
      <c r="W12" s="5"/>
      <c r="X12" s="5">
        <f t="shared" ref="X12:X25" si="2">+P12-T12</f>
        <v>664721.72000000009</v>
      </c>
      <c r="Y12" s="5"/>
      <c r="Z12" s="13">
        <f t="shared" ref="Z12:Z25" si="3">IF(T12=0,0,X12/T12)</f>
        <v>2.0204990515180943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--14914.64</f>
        <v>14914.64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14914.64</v>
      </c>
      <c r="M13" s="3"/>
      <c r="N13" s="20">
        <f t="shared" si="1"/>
        <v>0</v>
      </c>
      <c r="O13" s="12"/>
      <c r="P13" s="3">
        <f>--28469.2</f>
        <v>28469.200000000001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28469.200000000001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--56330.93</f>
        <v>56330.93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56330.93</v>
      </c>
      <c r="M16" s="3"/>
      <c r="N16" s="20">
        <f t="shared" si="1"/>
        <v>0</v>
      </c>
      <c r="O16" s="12"/>
      <c r="P16" s="3">
        <f>--205690.29</f>
        <v>205690.29</v>
      </c>
      <c r="Q16" s="3"/>
      <c r="R16" s="20"/>
      <c r="S16" s="3"/>
      <c r="T16" s="3">
        <f>--22964.48</f>
        <v>22964.48</v>
      </c>
      <c r="U16" s="3"/>
      <c r="V16" s="20"/>
      <c r="W16" s="3"/>
      <c r="X16" s="3">
        <f t="shared" si="2"/>
        <v>182725.81</v>
      </c>
      <c r="Y16" s="3"/>
      <c r="Z16" s="20">
        <f t="shared" si="3"/>
        <v>7.9568886384538207</v>
      </c>
    </row>
    <row r="17" spans="1:26" s="69" customFormat="1" ht="15" hidden="1" customHeight="1" outlineLevel="1" x14ac:dyDescent="0.3">
      <c r="A17" s="42"/>
      <c r="B17" s="12" t="str">
        <f>CONCATENATE("          ","4052"," - ","TAXABLE SALES-FOOD")</f>
        <v xml:space="preserve">          4052 - TAXABLE SALES-FOOD</v>
      </c>
      <c r="C17" s="12"/>
      <c r="D17" s="3">
        <f>0</f>
        <v>0</v>
      </c>
      <c r="E17" s="3"/>
      <c r="F17" s="20"/>
      <c r="G17" s="3"/>
      <c r="H17" s="3">
        <f>--49980.95</f>
        <v>49980.95</v>
      </c>
      <c r="I17" s="3"/>
      <c r="J17" s="20"/>
      <c r="K17" s="3"/>
      <c r="L17" s="3">
        <f t="shared" si="0"/>
        <v>-49980.95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--280157.8</f>
        <v>280157.8</v>
      </c>
      <c r="U17" s="3"/>
      <c r="V17" s="20"/>
      <c r="W17" s="3"/>
      <c r="X17" s="3">
        <f t="shared" si="2"/>
        <v>-280157.8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","4053"," - ","TAXABLE SALES-FOOD")</f>
        <v xml:space="preserve">          4053 - TAXABLE SALES-FOOD</v>
      </c>
      <c r="C18" s="12"/>
      <c r="D18" s="3">
        <f>--5743.27</f>
        <v>5743.27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5743.27</v>
      </c>
      <c r="M18" s="3"/>
      <c r="N18" s="20">
        <f t="shared" si="1"/>
        <v>0</v>
      </c>
      <c r="O18" s="12"/>
      <c r="P18" s="3">
        <f>--15234.46</f>
        <v>15234.46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15234.46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","4058"," - ","TAXABLE SALES-FOOD")</f>
        <v xml:space="preserve">          4058 - TAXABLE SALES-FOOD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--974.91</f>
        <v>974.91</v>
      </c>
      <c r="U19" s="3"/>
      <c r="V19" s="20"/>
      <c r="W19" s="3"/>
      <c r="X19" s="3">
        <f t="shared" si="2"/>
        <v>-974.91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--78719.83</f>
        <v>78719.83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78719.83</v>
      </c>
      <c r="M20" s="3"/>
      <c r="N20" s="20">
        <f t="shared" si="1"/>
        <v>0</v>
      </c>
      <c r="O20" s="12"/>
      <c r="P20" s="3">
        <f>--145707.51</f>
        <v>145707.51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145707.51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","4132"," - ","NON-TAXABLE SALES-JUICE")</f>
        <v xml:space="preserve">          4132 - NON-TAXABLE SALES-JUICE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--2031.88</f>
        <v>2031.88</v>
      </c>
      <c r="U21" s="3"/>
      <c r="V21" s="20"/>
      <c r="W21" s="3"/>
      <c r="X21" s="3">
        <f t="shared" si="2"/>
        <v>-2031.88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","4134"," - ","NON-TAXABLE SALES-SODA")</f>
        <v xml:space="preserve">          4134 - NON-TAXABLE SALES-SODA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0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","4137"," - ","NON-TAXABLE SALES-WATER")</f>
        <v xml:space="preserve">          4137 - NON-TAXABLE SALES-WATER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0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","4151"," - ","NON-TAXABLE SALES-FOOD")</f>
        <v xml:space="preserve">          4151 - NON-TAXABLE SALES-FOOD</v>
      </c>
      <c r="C24" s="12"/>
      <c r="D24" s="3">
        <f>--154374.91</f>
        <v>154374.91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154374.91</v>
      </c>
      <c r="M24" s="3"/>
      <c r="N24" s="20">
        <f t="shared" si="1"/>
        <v>0</v>
      </c>
      <c r="O24" s="12"/>
      <c r="P24" s="3">
        <f>--598609.14</f>
        <v>598609.14</v>
      </c>
      <c r="Q24" s="3"/>
      <c r="R24" s="20"/>
      <c r="S24" s="3"/>
      <c r="T24" s="3">
        <f>--22171.22</f>
        <v>22171.22</v>
      </c>
      <c r="U24" s="3"/>
      <c r="V24" s="20"/>
      <c r="W24" s="3"/>
      <c r="X24" s="3">
        <f t="shared" si="2"/>
        <v>576437.92000000004</v>
      </c>
      <c r="Y24" s="3"/>
      <c r="Z24" s="20">
        <f t="shared" si="3"/>
        <v>25.999377571464269</v>
      </c>
    </row>
    <row r="25" spans="1:26" s="69" customFormat="1" ht="15" hidden="1" customHeight="1" outlineLevel="1" x14ac:dyDescent="0.3">
      <c r="A25" s="42"/>
      <c r="B25" s="12" t="str">
        <f>CONCATENATE("          ","4153"," - ","NON-TAXABLE SALES-FOOD")</f>
        <v xml:space="preserve">          4153 - NON-TAXABLE SALES-FOOD</v>
      </c>
      <c r="C25" s="12"/>
      <c r="D25" s="3">
        <f>0</f>
        <v>0</v>
      </c>
      <c r="E25" s="3"/>
      <c r="F25" s="20"/>
      <c r="G25" s="3"/>
      <c r="H25" s="3">
        <f>--134</f>
        <v>134</v>
      </c>
      <c r="I25" s="3"/>
      <c r="J25" s="20"/>
      <c r="K25" s="3"/>
      <c r="L25" s="3">
        <f t="shared" si="0"/>
        <v>-134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--244</f>
        <v>244</v>
      </c>
      <c r="U25" s="3"/>
      <c r="V25" s="20"/>
      <c r="W25" s="3"/>
      <c r="X25" s="3">
        <f t="shared" si="2"/>
        <v>-244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124282.15999999999</v>
      </c>
      <c r="E27" s="5"/>
      <c r="F27" s="13">
        <f>IF(D$12=0,0,D27/D$12)</f>
        <v>0.40080213212192656</v>
      </c>
      <c r="G27" s="5"/>
      <c r="H27" s="5">
        <f>SUM(OSRRefH16x_0)</f>
        <v>14829.89</v>
      </c>
      <c r="I27" s="5"/>
      <c r="J27" s="13">
        <f>IF(H$12=0,0,H27/H$12)</f>
        <v>0.29591748570037485</v>
      </c>
      <c r="K27" s="5"/>
      <c r="L27" s="5">
        <f>+D27-H27</f>
        <v>109452.26999999999</v>
      </c>
      <c r="M27" s="5"/>
      <c r="N27" s="13">
        <f>IF(H27=0,0,L27/H27)</f>
        <v>7.3805179944018464</v>
      </c>
      <c r="O27" s="11"/>
      <c r="P27" s="5">
        <f>SUM(OSRRefP16x_0)</f>
        <v>419014.95999999996</v>
      </c>
      <c r="Q27" s="5"/>
      <c r="R27" s="13">
        <f>IF(P$12=0,0,P27/P$12)</f>
        <v>0.42166699238188654</v>
      </c>
      <c r="S27" s="5"/>
      <c r="T27" s="5">
        <f>SUM(OSRRefT16x_0)</f>
        <v>43878.2</v>
      </c>
      <c r="U27" s="5"/>
      <c r="V27" s="13">
        <f>IF(T$12=0,0,T27/T$12)</f>
        <v>0.13337289698059093</v>
      </c>
      <c r="W27" s="5"/>
      <c r="X27" s="5">
        <f>+P27-T27</f>
        <v>375136.75999999995</v>
      </c>
      <c r="Y27" s="5"/>
      <c r="Z27" s="13">
        <f>IF(T27=0,0,X27/T27)</f>
        <v>8.5495020306211273</v>
      </c>
    </row>
    <row r="28" spans="1:26" s="69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-10213</v>
      </c>
      <c r="E28" s="3"/>
      <c r="F28" s="20">
        <f>IF(D$12=0,0,D28/D$12)</f>
        <v>-3.2936281243914949E-2</v>
      </c>
      <c r="G28" s="3"/>
      <c r="H28" s="3"/>
      <c r="I28" s="3"/>
      <c r="J28" s="20">
        <f>IF(H$12=0,0,H28/H$12)</f>
        <v>0</v>
      </c>
      <c r="K28" s="3"/>
      <c r="L28" s="3">
        <f>+D28-H28</f>
        <v>-10213</v>
      </c>
      <c r="M28" s="3"/>
      <c r="N28" s="20">
        <f>IF(H28=0,0,L28/H28)</f>
        <v>0</v>
      </c>
      <c r="O28" s="12"/>
      <c r="P28" s="3">
        <v>-10213</v>
      </c>
      <c r="Q28" s="3"/>
      <c r="R28" s="20">
        <f>IF(P$12=0,0,P28/P$12)</f>
        <v>-1.0277640190212321E-2</v>
      </c>
      <c r="S28" s="3"/>
      <c r="T28" s="3"/>
      <c r="U28" s="3"/>
      <c r="V28" s="20">
        <f>IF(T$12=0,0,T28/T$12)</f>
        <v>0</v>
      </c>
      <c r="W28" s="3"/>
      <c r="X28" s="3">
        <f>+P28-T28</f>
        <v>-10213</v>
      </c>
      <c r="Y28" s="3"/>
      <c r="Z28" s="20">
        <f>IF(T28=0,0,X28/T28)</f>
        <v>0</v>
      </c>
    </row>
    <row r="29" spans="1:26" s="69" customFormat="1" ht="15" hidden="1" customHeight="1" outlineLevel="1" x14ac:dyDescent="0.3">
      <c r="A29" s="42"/>
      <c r="B29" s="12" t="str">
        <f>CONCATENATE("          ","5053"," - ","PURCHASES @ COST-FOOD")</f>
        <v xml:space="preserve">          5053 - PURCHASES @ COST-FOOD</v>
      </c>
      <c r="C29" s="12"/>
      <c r="D29" s="3">
        <v>67997.179999999993</v>
      </c>
      <c r="E29" s="3"/>
      <c r="F29" s="20">
        <f>IF(D$12=0,0,D29/D$12)</f>
        <v>0.21928661943337982</v>
      </c>
      <c r="G29" s="3"/>
      <c r="H29" s="3">
        <v>-4739.1099999999997</v>
      </c>
      <c r="I29" s="3"/>
      <c r="J29" s="20">
        <f>IF(H$12=0,0,H29/H$12)</f>
        <v>-9.4564795535064888E-2</v>
      </c>
      <c r="K29" s="3"/>
      <c r="L29" s="3">
        <f>+D29-H29</f>
        <v>72736.289999999994</v>
      </c>
      <c r="M29" s="3"/>
      <c r="N29" s="20">
        <f>IF(H29=0,0,L29/H29)</f>
        <v>-15.348090675253371</v>
      </c>
      <c r="O29" s="12"/>
      <c r="P29" s="3">
        <v>339169.29</v>
      </c>
      <c r="Q29" s="3"/>
      <c r="R29" s="20">
        <f>IF(P$12=0,0,P29/P$12)</f>
        <v>0.34131596261527242</v>
      </c>
      <c r="S29" s="3"/>
      <c r="T29" s="3">
        <v>7282.21</v>
      </c>
      <c r="U29" s="3"/>
      <c r="V29" s="20">
        <f>IF(T$12=0,0,T29/T$12)</f>
        <v>2.2135125053466851E-2</v>
      </c>
      <c r="W29" s="3"/>
      <c r="X29" s="3">
        <f>+P29-T29</f>
        <v>331887.07999999996</v>
      </c>
      <c r="Y29" s="3"/>
      <c r="Z29" s="20">
        <f>IF(T29=0,0,X29/T29)</f>
        <v>45.575049332551515</v>
      </c>
    </row>
    <row r="30" spans="1:26" s="69" customFormat="1" ht="15" hidden="1" customHeight="1" outlineLevel="1" x14ac:dyDescent="0.3">
      <c r="A30" s="42"/>
      <c r="B30" s="12" t="str">
        <f>CONCATENATE("          ","5059"," - ","PURCHASES @ COST-FOOD")</f>
        <v xml:space="preserve">          5059 - PURCHASES @ COST-FOOD</v>
      </c>
      <c r="C30" s="12"/>
      <c r="D30" s="3">
        <v>66497.98</v>
      </c>
      <c r="E30" s="3"/>
      <c r="F30" s="20">
        <f>IF(D$12=0,0,D30/D$12)</f>
        <v>0.21445179393246167</v>
      </c>
      <c r="G30" s="3"/>
      <c r="H30" s="3">
        <v>19569</v>
      </c>
      <c r="I30" s="3"/>
      <c r="J30" s="20">
        <f>IF(H$12=0,0,H30/H$12)</f>
        <v>0.39048228123543977</v>
      </c>
      <c r="K30" s="3"/>
      <c r="L30" s="3">
        <f>+D30-H30</f>
        <v>46928.979999999996</v>
      </c>
      <c r="M30" s="3"/>
      <c r="N30" s="20">
        <f>IF(H30=0,0,L30/H30)</f>
        <v>2.3981286729010165</v>
      </c>
      <c r="O30" s="12"/>
      <c r="P30" s="3">
        <v>90058.67</v>
      </c>
      <c r="Q30" s="3"/>
      <c r="R30" s="20">
        <f>IF(P$12=0,0,P30/P$12)</f>
        <v>9.062866995682646E-2</v>
      </c>
      <c r="S30" s="3"/>
      <c r="T30" s="3">
        <v>36595.99</v>
      </c>
      <c r="U30" s="3"/>
      <c r="V30" s="20">
        <f>IF(T$12=0,0,T30/T$12)</f>
        <v>0.1112377719271241</v>
      </c>
      <c r="W30" s="3"/>
      <c r="X30" s="3">
        <f>+P30-T30</f>
        <v>53462.68</v>
      </c>
      <c r="Y30" s="3"/>
      <c r="Z30" s="20">
        <f>IF(T30=0,0,X30/T30)</f>
        <v>1.460889020900924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288</v>
      </c>
      <c r="C32" s="28"/>
      <c r="D32" s="23">
        <f>D12-D27</f>
        <v>185801.42000000004</v>
      </c>
      <c r="E32" s="15"/>
      <c r="F32" s="22">
        <f>IF(D$12=0,0,D32/D$12)</f>
        <v>0.5991978678780735</v>
      </c>
      <c r="G32" s="15"/>
      <c r="H32" s="23">
        <f>H12-H27</f>
        <v>35285.06</v>
      </c>
      <c r="I32" s="15"/>
      <c r="J32" s="22">
        <f>IF(H$12=0,0,H32/H$12)</f>
        <v>0.70408251429962521</v>
      </c>
      <c r="K32" s="17"/>
      <c r="L32" s="23">
        <f>+D32-H32</f>
        <v>150516.36000000004</v>
      </c>
      <c r="M32" s="17"/>
      <c r="N32" s="22">
        <f>IF(H32=0,0,L32/H32)</f>
        <v>4.2657249272071542</v>
      </c>
      <c r="O32" s="27"/>
      <c r="P32" s="23">
        <f>P12-P27</f>
        <v>574695.64000000013</v>
      </c>
      <c r="Q32" s="15"/>
      <c r="R32" s="22">
        <f>IF(P$12=0,0,P32/P$12)</f>
        <v>0.57833300761811346</v>
      </c>
      <c r="S32" s="15"/>
      <c r="T32" s="23">
        <f>T12-T27</f>
        <v>285110.68</v>
      </c>
      <c r="U32" s="15"/>
      <c r="V32" s="22">
        <f>IF(T$12=0,0,T32/T$12)</f>
        <v>0.86662710301940904</v>
      </c>
      <c r="W32" s="17"/>
      <c r="X32" s="23">
        <f>+P32-T32</f>
        <v>289584.96000000014</v>
      </c>
      <c r="Y32" s="17"/>
      <c r="Z32" s="22">
        <f>IF(T32=0,0,X32/T32)</f>
        <v>1.0156931336279655</v>
      </c>
    </row>
    <row r="33" spans="1:26" ht="15" customHeight="1" x14ac:dyDescent="0.3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3">
      <c r="A34" s="11"/>
      <c r="B34" s="27" t="s">
        <v>289</v>
      </c>
      <c r="C34" s="11"/>
      <c r="D34" s="21" cm="1">
        <f t="array" ref="D34">SUM(OSRRefD22x_0)</f>
        <v>251187.8</v>
      </c>
      <c r="E34" s="21"/>
      <c r="F34" s="30">
        <f t="shared" ref="F34:F65" si="4">IF(D$12=0,0,D34/D$12)</f>
        <v>0.81006482187802387</v>
      </c>
      <c r="G34" s="21"/>
      <c r="H34" s="21" cm="1">
        <f t="array" ref="H34">SUM(OSRRefH22x_0)</f>
        <v>123001.63</v>
      </c>
      <c r="I34" s="21"/>
      <c r="J34" s="30">
        <f t="shared" ref="J34:J65" si="5">IF(H$12=0,0,H34/H$12)</f>
        <v>2.4543899574877361</v>
      </c>
      <c r="K34" s="5"/>
      <c r="L34" s="21">
        <f t="shared" ref="L34:L65" si="6">+D34-H34</f>
        <v>128186.16999999998</v>
      </c>
      <c r="M34" s="5"/>
      <c r="N34" s="30">
        <f t="shared" ref="N34:N65" si="7">IF(H34=0,0,L34/H34)</f>
        <v>1.0421501731318519</v>
      </c>
      <c r="O34" s="11"/>
      <c r="P34" s="21" cm="1">
        <f t="array" ref="P34">SUM(OSRRefP22x_0)</f>
        <v>1641735.9</v>
      </c>
      <c r="Q34" s="21"/>
      <c r="R34" s="30">
        <f t="shared" ref="R34:R65" si="8">IF(P$12=0,0,P34/P$12)</f>
        <v>1.6521267862091837</v>
      </c>
      <c r="S34" s="21"/>
      <c r="T34" s="21" cm="1">
        <f t="array" ref="T34">SUM(OSRRefT22x_0)</f>
        <v>1097714.67</v>
      </c>
      <c r="U34" s="21"/>
      <c r="V34" s="30">
        <f t="shared" ref="V34:V65" si="9">IF(T$12=0,0,T34/T$12)</f>
        <v>3.3366315299167555</v>
      </c>
      <c r="W34" s="5"/>
      <c r="X34" s="21">
        <f t="shared" ref="X34:X65" si="10">+P34-T34</f>
        <v>544021.23</v>
      </c>
      <c r="Y34" s="5"/>
      <c r="Z34" s="30">
        <f t="shared" ref="Z34:Z65" si="11">IF(T34=0,0,X34/T34)</f>
        <v>0.49559438792960653</v>
      </c>
    </row>
    <row r="35" spans="1:26" s="68" customFormat="1" ht="15" customHeight="1" outlineLevel="1" collapsed="1" x14ac:dyDescent="0.3">
      <c r="A35" s="25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35984.92</v>
      </c>
      <c r="E35" s="2"/>
      <c r="F35" s="6">
        <f t="shared" si="4"/>
        <v>0.11604909876234012</v>
      </c>
      <c r="G35" s="2"/>
      <c r="H35" s="2">
        <f>SUM(OSRRefH22_0x_0)</f>
        <v>18076.13</v>
      </c>
      <c r="I35" s="2"/>
      <c r="J35" s="6">
        <f t="shared" si="5"/>
        <v>0.36069336595167711</v>
      </c>
      <c r="K35" s="2"/>
      <c r="L35" s="2">
        <f t="shared" si="6"/>
        <v>17908.789999999997</v>
      </c>
      <c r="M35" s="2"/>
      <c r="N35" s="6">
        <f t="shared" si="7"/>
        <v>0.99074248746827975</v>
      </c>
      <c r="O35" s="14"/>
      <c r="P35" s="2">
        <f>SUM(OSRRefP22_0x_0)</f>
        <v>260562.13999999998</v>
      </c>
      <c r="Q35" s="2"/>
      <c r="R35" s="6">
        <f t="shared" si="8"/>
        <v>0.26221129169800539</v>
      </c>
      <c r="S35" s="2"/>
      <c r="T35" s="2">
        <f>SUM(OSRRefT22_0x_0)</f>
        <v>203095.44999999998</v>
      </c>
      <c r="U35" s="2"/>
      <c r="V35" s="6">
        <f t="shared" si="9"/>
        <v>0.61733226363152449</v>
      </c>
      <c r="W35" s="2"/>
      <c r="X35" s="2">
        <f t="shared" si="10"/>
        <v>57466.69</v>
      </c>
      <c r="Y35" s="2"/>
      <c r="Z35" s="6">
        <f t="shared" si="11"/>
        <v>0.28295409867626287</v>
      </c>
    </row>
    <row r="36" spans="1:26" s="69" customFormat="1" ht="15" hidden="1" customHeight="1" outlineLevel="2" x14ac:dyDescent="0.3">
      <c r="A36" s="26"/>
      <c r="B36" s="12" t="str">
        <f>CONCATENATE("          ","6111"," - ","F.I.C.A.")</f>
        <v xml:space="preserve">          6111 - F.I.C.A.</v>
      </c>
      <c r="C36" s="12"/>
      <c r="D36" s="8">
        <v>5541.22</v>
      </c>
      <c r="E36" s="3"/>
      <c r="F36" s="7">
        <f t="shared" si="4"/>
        <v>1.7870085220249327E-2</v>
      </c>
      <c r="G36" s="3"/>
      <c r="H36" s="8">
        <v>2064.8200000000002</v>
      </c>
      <c r="I36" s="3"/>
      <c r="J36" s="7">
        <f t="shared" si="5"/>
        <v>4.1201677343786637E-2</v>
      </c>
      <c r="K36" s="3"/>
      <c r="L36" s="8">
        <f t="shared" si="6"/>
        <v>3476.4</v>
      </c>
      <c r="M36" s="3"/>
      <c r="N36" s="7">
        <f t="shared" si="7"/>
        <v>1.68363344020302</v>
      </c>
      <c r="O36" s="12"/>
      <c r="P36" s="8">
        <v>37848.71</v>
      </c>
      <c r="Q36" s="3"/>
      <c r="R36" s="7">
        <f t="shared" si="8"/>
        <v>3.808826231701664E-2</v>
      </c>
      <c r="S36" s="3"/>
      <c r="T36" s="8">
        <v>23650.09</v>
      </c>
      <c r="U36" s="3"/>
      <c r="V36" s="7">
        <f t="shared" si="9"/>
        <v>7.1887201780193907E-2</v>
      </c>
      <c r="W36" s="3"/>
      <c r="X36" s="8">
        <f t="shared" si="10"/>
        <v>14198.619999999999</v>
      </c>
      <c r="Y36" s="3"/>
      <c r="Z36" s="7">
        <f t="shared" si="11"/>
        <v>0.6003621973531601</v>
      </c>
    </row>
    <row r="37" spans="1:26" s="69" customFormat="1" ht="15" hidden="1" customHeight="1" outlineLevel="2" x14ac:dyDescent="0.3">
      <c r="A37" s="26"/>
      <c r="B37" s="12" t="str">
        <f>CONCATENATE("          ","6112"," - ","COMPENSATION INSURANCE")</f>
        <v xml:space="preserve">          6112 - COMPENSATION INSURANCE</v>
      </c>
      <c r="C37" s="12"/>
      <c r="D37" s="8">
        <v>2611.85</v>
      </c>
      <c r="E37" s="3"/>
      <c r="F37" s="7">
        <f t="shared" si="4"/>
        <v>8.4230516172446139E-3</v>
      </c>
      <c r="G37" s="3"/>
      <c r="H37" s="8">
        <v>629.72</v>
      </c>
      <c r="I37" s="3"/>
      <c r="J37" s="7">
        <f t="shared" si="5"/>
        <v>1.25655118881691E-2</v>
      </c>
      <c r="K37" s="3"/>
      <c r="L37" s="8">
        <f t="shared" si="6"/>
        <v>1982.1299999999999</v>
      </c>
      <c r="M37" s="3"/>
      <c r="N37" s="7">
        <f t="shared" si="7"/>
        <v>3.1476370450358888</v>
      </c>
      <c r="O37" s="12"/>
      <c r="P37" s="8">
        <v>16899.25</v>
      </c>
      <c r="Q37" s="3"/>
      <c r="R37" s="7">
        <f t="shared" si="8"/>
        <v>1.7006208849940817E-2</v>
      </c>
      <c r="S37" s="3"/>
      <c r="T37" s="8">
        <v>6622.89</v>
      </c>
      <c r="U37" s="3"/>
      <c r="V37" s="7">
        <f t="shared" si="9"/>
        <v>2.0131045158729984E-2</v>
      </c>
      <c r="W37" s="3"/>
      <c r="X37" s="8">
        <f t="shared" si="10"/>
        <v>10276.36</v>
      </c>
      <c r="Y37" s="3"/>
      <c r="Z37" s="7">
        <f t="shared" si="11"/>
        <v>1.5516428628589634</v>
      </c>
    </row>
    <row r="38" spans="1:26" s="69" customFormat="1" ht="15" hidden="1" customHeight="1" outlineLevel="2" x14ac:dyDescent="0.3">
      <c r="A38" s="26"/>
      <c r="B38" s="12" t="str">
        <f>CONCATENATE("          ","6113"," - ","GROUP INSURANCE")</f>
        <v xml:space="preserve">          6113 - GROUP INSURANCE</v>
      </c>
      <c r="C38" s="12"/>
      <c r="D38" s="8">
        <v>14917.16</v>
      </c>
      <c r="E38" s="3"/>
      <c r="F38" s="7">
        <f t="shared" si="4"/>
        <v>4.8106900726571845E-2</v>
      </c>
      <c r="G38" s="3"/>
      <c r="H38" s="8">
        <v>8554.93</v>
      </c>
      <c r="I38" s="3"/>
      <c r="J38" s="7">
        <f t="shared" si="5"/>
        <v>0.17070614656903779</v>
      </c>
      <c r="K38" s="3"/>
      <c r="L38" s="8">
        <f t="shared" si="6"/>
        <v>6362.23</v>
      </c>
      <c r="M38" s="3"/>
      <c r="N38" s="7">
        <f t="shared" si="7"/>
        <v>0.74369164914265806</v>
      </c>
      <c r="O38" s="12"/>
      <c r="P38" s="8">
        <v>104799.66</v>
      </c>
      <c r="Q38" s="3"/>
      <c r="R38" s="7">
        <f t="shared" si="8"/>
        <v>0.10546295873265314</v>
      </c>
      <c r="S38" s="3"/>
      <c r="T38" s="8">
        <v>96109.43</v>
      </c>
      <c r="U38" s="3"/>
      <c r="V38" s="7">
        <f t="shared" si="9"/>
        <v>0.29213580106415754</v>
      </c>
      <c r="W38" s="3"/>
      <c r="X38" s="8">
        <f t="shared" si="10"/>
        <v>8690.2300000000105</v>
      </c>
      <c r="Y38" s="3"/>
      <c r="Z38" s="7">
        <f t="shared" si="11"/>
        <v>9.0420159603485428E-2</v>
      </c>
    </row>
    <row r="39" spans="1:26" s="69" customFormat="1" ht="15" hidden="1" customHeight="1" outlineLevel="2" x14ac:dyDescent="0.3">
      <c r="A39" s="26"/>
      <c r="B39" s="12" t="str">
        <f>CONCATENATE("          ","6114"," - ","STATE UNEMPLOYMENT INSURANCE")</f>
        <v xml:space="preserve">          6114 - STATE UNEMPLOYMENT INSURANCE</v>
      </c>
      <c r="C39" s="12"/>
      <c r="D39" s="8">
        <v>252.41</v>
      </c>
      <c r="E39" s="3"/>
      <c r="F39" s="7">
        <f t="shared" si="4"/>
        <v>8.1400633983908465E-4</v>
      </c>
      <c r="G39" s="3"/>
      <c r="H39" s="8">
        <v>81.3</v>
      </c>
      <c r="I39" s="3"/>
      <c r="J39" s="7">
        <f t="shared" si="5"/>
        <v>1.6222704003495962E-3</v>
      </c>
      <c r="K39" s="3"/>
      <c r="L39" s="8">
        <f t="shared" si="6"/>
        <v>171.11</v>
      </c>
      <c r="M39" s="3"/>
      <c r="N39" s="7">
        <f t="shared" si="7"/>
        <v>2.1046740467404677</v>
      </c>
      <c r="O39" s="12"/>
      <c r="P39" s="8">
        <v>1554.06</v>
      </c>
      <c r="Q39" s="3"/>
      <c r="R39" s="7">
        <f t="shared" si="8"/>
        <v>1.5638959672967159E-3</v>
      </c>
      <c r="S39" s="3"/>
      <c r="T39" s="8">
        <v>886.67</v>
      </c>
      <c r="U39" s="3"/>
      <c r="V39" s="7">
        <f t="shared" si="9"/>
        <v>2.6951366866867959E-3</v>
      </c>
      <c r="W39" s="3"/>
      <c r="X39" s="8">
        <f t="shared" si="10"/>
        <v>667.39</v>
      </c>
      <c r="Y39" s="3"/>
      <c r="Z39" s="7">
        <f t="shared" si="11"/>
        <v>0.75269265905015392</v>
      </c>
    </row>
    <row r="40" spans="1:26" s="69" customFormat="1" ht="15" hidden="1" customHeight="1" outlineLevel="2" x14ac:dyDescent="0.3">
      <c r="A40" s="26"/>
      <c r="B40" s="12" t="str">
        <f>CONCATENATE("          ","6115"," - ","P.E.R.S.")</f>
        <v xml:space="preserve">          6115 - P.E.R.S.</v>
      </c>
      <c r="C40" s="12"/>
      <c r="D40" s="8">
        <v>3702.87</v>
      </c>
      <c r="E40" s="3"/>
      <c r="F40" s="7">
        <f t="shared" si="4"/>
        <v>1.1941522346974966E-2</v>
      </c>
      <c r="G40" s="3"/>
      <c r="H40" s="8">
        <v>2703.34</v>
      </c>
      <c r="I40" s="3"/>
      <c r="J40" s="7">
        <f t="shared" si="5"/>
        <v>5.3942785536052619E-2</v>
      </c>
      <c r="K40" s="3"/>
      <c r="L40" s="8">
        <f t="shared" si="6"/>
        <v>999.52999999999975</v>
      </c>
      <c r="M40" s="3"/>
      <c r="N40" s="7">
        <f t="shared" si="7"/>
        <v>0.36973891556370997</v>
      </c>
      <c r="O40" s="12"/>
      <c r="P40" s="8">
        <v>28457.49</v>
      </c>
      <c r="Q40" s="3"/>
      <c r="R40" s="7">
        <f t="shared" si="8"/>
        <v>2.8637603342462081E-2</v>
      </c>
      <c r="S40" s="3"/>
      <c r="T40" s="8">
        <v>32451.94</v>
      </c>
      <c r="U40" s="3"/>
      <c r="V40" s="7">
        <f t="shared" si="9"/>
        <v>9.8641449522549204E-2</v>
      </c>
      <c r="W40" s="3"/>
      <c r="X40" s="8">
        <f t="shared" si="10"/>
        <v>-3994.4499999999971</v>
      </c>
      <c r="Y40" s="3"/>
      <c r="Z40" s="7">
        <f t="shared" si="11"/>
        <v>-0.12308817284883422</v>
      </c>
    </row>
    <row r="41" spans="1:26" s="69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8">
        <v>250.77</v>
      </c>
      <c r="E41" s="3"/>
      <c r="F41" s="7">
        <f t="shared" si="4"/>
        <v>8.0871744321321366E-4</v>
      </c>
      <c r="G41" s="3"/>
      <c r="H41" s="8"/>
      <c r="I41" s="3"/>
      <c r="J41" s="7">
        <f t="shared" si="5"/>
        <v>0</v>
      </c>
      <c r="K41" s="3"/>
      <c r="L41" s="8">
        <f t="shared" si="6"/>
        <v>250.77</v>
      </c>
      <c r="M41" s="3"/>
      <c r="N41" s="7">
        <f t="shared" si="7"/>
        <v>0</v>
      </c>
      <c r="O41" s="12"/>
      <c r="P41" s="8">
        <v>462.43</v>
      </c>
      <c r="Q41" s="3"/>
      <c r="R41" s="7">
        <f t="shared" si="8"/>
        <v>4.6535681515322465E-4</v>
      </c>
      <c r="S41" s="3"/>
      <c r="T41" s="8"/>
      <c r="U41" s="3"/>
      <c r="V41" s="7">
        <f t="shared" si="9"/>
        <v>0</v>
      </c>
      <c r="W41" s="3"/>
      <c r="X41" s="8">
        <f t="shared" si="10"/>
        <v>462.43</v>
      </c>
      <c r="Y41" s="3"/>
      <c r="Z41" s="7">
        <f t="shared" si="11"/>
        <v>0</v>
      </c>
    </row>
    <row r="42" spans="1:26" s="69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8">
        <v>3658.02</v>
      </c>
      <c r="E42" s="3"/>
      <c r="F42" s="7">
        <f t="shared" si="4"/>
        <v>1.1796883924005262E-2</v>
      </c>
      <c r="G42" s="3"/>
      <c r="H42" s="8">
        <v>2462.92</v>
      </c>
      <c r="I42" s="3"/>
      <c r="J42" s="7">
        <f t="shared" si="5"/>
        <v>4.9145414691623958E-2</v>
      </c>
      <c r="K42" s="3"/>
      <c r="L42" s="8">
        <f t="shared" si="6"/>
        <v>1195.0999999999999</v>
      </c>
      <c r="M42" s="3"/>
      <c r="N42" s="7">
        <f t="shared" si="7"/>
        <v>0.48523703571370563</v>
      </c>
      <c r="O42" s="12"/>
      <c r="P42" s="8">
        <v>30149.16</v>
      </c>
      <c r="Q42" s="3"/>
      <c r="R42" s="7">
        <f t="shared" si="8"/>
        <v>3.0339980271922223E-2</v>
      </c>
      <c r="S42" s="3"/>
      <c r="T42" s="8">
        <v>24358</v>
      </c>
      <c r="U42" s="3"/>
      <c r="V42" s="7">
        <f t="shared" si="9"/>
        <v>7.4038976636535553E-2</v>
      </c>
      <c r="W42" s="3"/>
      <c r="X42" s="8">
        <f t="shared" si="10"/>
        <v>5791.16</v>
      </c>
      <c r="Y42" s="3"/>
      <c r="Z42" s="7">
        <f t="shared" si="11"/>
        <v>0.2377518679694556</v>
      </c>
    </row>
    <row r="43" spans="1:26" s="69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8">
        <v>2633.58</v>
      </c>
      <c r="E43" s="3"/>
      <c r="F43" s="7">
        <f t="shared" si="4"/>
        <v>8.4931294975374057E-3</v>
      </c>
      <c r="G43" s="3"/>
      <c r="H43" s="8">
        <v>1382.86</v>
      </c>
      <c r="I43" s="3"/>
      <c r="J43" s="7">
        <f t="shared" si="5"/>
        <v>2.7593761941296958E-2</v>
      </c>
      <c r="K43" s="3"/>
      <c r="L43" s="8">
        <f t="shared" si="6"/>
        <v>1250.72</v>
      </c>
      <c r="M43" s="3"/>
      <c r="N43" s="7">
        <f t="shared" si="7"/>
        <v>0.90444441230493333</v>
      </c>
      <c r="O43" s="12"/>
      <c r="P43" s="8">
        <v>26914.54</v>
      </c>
      <c r="Q43" s="3"/>
      <c r="R43" s="7">
        <f t="shared" si="8"/>
        <v>2.7084887692654179E-2</v>
      </c>
      <c r="S43" s="3"/>
      <c r="T43" s="8">
        <v>14572.46</v>
      </c>
      <c r="U43" s="3"/>
      <c r="V43" s="7">
        <f t="shared" si="9"/>
        <v>4.4294688622910292E-2</v>
      </c>
      <c r="W43" s="3"/>
      <c r="X43" s="8">
        <f t="shared" si="10"/>
        <v>12342.080000000002</v>
      </c>
      <c r="Y43" s="3"/>
      <c r="Z43" s="7">
        <f t="shared" si="11"/>
        <v>0.84694553973728548</v>
      </c>
    </row>
    <row r="44" spans="1:26" s="69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8">
        <v>2417.04</v>
      </c>
      <c r="E44" s="3"/>
      <c r="F44" s="7">
        <f t="shared" si="4"/>
        <v>7.7948016467044136E-3</v>
      </c>
      <c r="G44" s="3"/>
      <c r="H44" s="8">
        <v>196.24</v>
      </c>
      <c r="I44" s="3"/>
      <c r="J44" s="7">
        <f t="shared" si="5"/>
        <v>3.9157975813604523E-3</v>
      </c>
      <c r="K44" s="3"/>
      <c r="L44" s="8">
        <f t="shared" si="6"/>
        <v>2220.8000000000002</v>
      </c>
      <c r="M44" s="3"/>
      <c r="N44" s="7">
        <f t="shared" si="7"/>
        <v>11.31675499388504</v>
      </c>
      <c r="O44" s="12"/>
      <c r="P44" s="8">
        <v>13476.84</v>
      </c>
      <c r="Q44" s="3"/>
      <c r="R44" s="7">
        <f t="shared" si="8"/>
        <v>1.3562137708906396E-2</v>
      </c>
      <c r="S44" s="3"/>
      <c r="T44" s="8">
        <v>4443.97</v>
      </c>
      <c r="U44" s="3"/>
      <c r="V44" s="7">
        <f t="shared" si="9"/>
        <v>1.3507964159761267E-2</v>
      </c>
      <c r="W44" s="3"/>
      <c r="X44" s="8">
        <f t="shared" si="10"/>
        <v>9032.869999999999</v>
      </c>
      <c r="Y44" s="3"/>
      <c r="Z44" s="7">
        <f t="shared" si="11"/>
        <v>2.0326127314090776</v>
      </c>
    </row>
    <row r="45" spans="1:26" s="68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107262.54999999999</v>
      </c>
      <c r="E45" s="2"/>
      <c r="F45" s="6">
        <f t="shared" si="4"/>
        <v>0.3459149626690971</v>
      </c>
      <c r="G45" s="2"/>
      <c r="H45" s="2">
        <f>SUM(OSRRefH22_1x_0)</f>
        <v>25366.62</v>
      </c>
      <c r="I45" s="2"/>
      <c r="J45" s="6">
        <f t="shared" si="5"/>
        <v>0.50616871811704889</v>
      </c>
      <c r="K45" s="2"/>
      <c r="L45" s="2">
        <f t="shared" si="6"/>
        <v>81895.929999999993</v>
      </c>
      <c r="M45" s="2"/>
      <c r="N45" s="6">
        <f t="shared" si="7"/>
        <v>3.228492010366379</v>
      </c>
      <c r="O45" s="14"/>
      <c r="P45" s="2">
        <f>SUM(OSRRefP22_1x_0)</f>
        <v>595328.73</v>
      </c>
      <c r="Q45" s="2"/>
      <c r="R45" s="6">
        <f t="shared" si="8"/>
        <v>0.59909668871399779</v>
      </c>
      <c r="S45" s="2"/>
      <c r="T45" s="2">
        <f>SUM(OSRRefT22_1x_0)</f>
        <v>275464.67</v>
      </c>
      <c r="U45" s="2"/>
      <c r="V45" s="6">
        <f t="shared" si="9"/>
        <v>0.83730693268416845</v>
      </c>
      <c r="W45" s="2"/>
      <c r="X45" s="2">
        <f t="shared" si="10"/>
        <v>319864.06</v>
      </c>
      <c r="Y45" s="2"/>
      <c r="Z45" s="6">
        <f t="shared" si="11"/>
        <v>1.1611799799952569</v>
      </c>
    </row>
    <row r="46" spans="1:26" s="69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8">
        <v>10936.46</v>
      </c>
      <c r="E46" s="3"/>
      <c r="F46" s="7">
        <f t="shared" si="4"/>
        <v>3.5269394142056792E-2</v>
      </c>
      <c r="G46" s="3"/>
      <c r="H46" s="8">
        <v>10590.82</v>
      </c>
      <c r="I46" s="3"/>
      <c r="J46" s="7">
        <f t="shared" si="5"/>
        <v>0.21133055106310591</v>
      </c>
      <c r="K46" s="3"/>
      <c r="L46" s="8">
        <f t="shared" si="6"/>
        <v>345.63999999999942</v>
      </c>
      <c r="M46" s="3"/>
      <c r="N46" s="7">
        <f t="shared" si="7"/>
        <v>3.2635811013689162E-2</v>
      </c>
      <c r="O46" s="12"/>
      <c r="P46" s="8">
        <v>89196.29</v>
      </c>
      <c r="Q46" s="3"/>
      <c r="R46" s="7">
        <f t="shared" si="8"/>
        <v>8.9760831775367991E-2</v>
      </c>
      <c r="S46" s="3"/>
      <c r="T46" s="8">
        <v>87181.9</v>
      </c>
      <c r="U46" s="3"/>
      <c r="V46" s="7">
        <f t="shared" si="9"/>
        <v>0.26499953433076517</v>
      </c>
      <c r="W46" s="3"/>
      <c r="X46" s="8">
        <f t="shared" si="10"/>
        <v>2014.3899999999994</v>
      </c>
      <c r="Y46" s="3"/>
      <c r="Z46" s="7">
        <f t="shared" si="11"/>
        <v>2.3105598753869777E-2</v>
      </c>
    </row>
    <row r="47" spans="1:26" s="69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8">
        <v>25467.81</v>
      </c>
      <c r="E47" s="3"/>
      <c r="F47" s="7">
        <f t="shared" si="4"/>
        <v>8.2132081937392493E-2</v>
      </c>
      <c r="G47" s="3"/>
      <c r="H47" s="8">
        <v>14166.5</v>
      </c>
      <c r="I47" s="3"/>
      <c r="J47" s="7">
        <f t="shared" si="5"/>
        <v>0.28268011840778051</v>
      </c>
      <c r="K47" s="3"/>
      <c r="L47" s="8">
        <f t="shared" si="6"/>
        <v>11301.310000000001</v>
      </c>
      <c r="M47" s="3"/>
      <c r="N47" s="7">
        <f t="shared" si="7"/>
        <v>0.79774891469311415</v>
      </c>
      <c r="O47" s="12"/>
      <c r="P47" s="8">
        <v>191273.44</v>
      </c>
      <c r="Q47" s="3"/>
      <c r="R47" s="7">
        <f t="shared" si="8"/>
        <v>0.1924840491789058</v>
      </c>
      <c r="S47" s="3"/>
      <c r="T47" s="8">
        <v>161089.01</v>
      </c>
      <c r="U47" s="3"/>
      <c r="V47" s="7">
        <f t="shared" si="9"/>
        <v>0.48964879907187137</v>
      </c>
      <c r="W47" s="3"/>
      <c r="X47" s="8">
        <f t="shared" si="10"/>
        <v>30184.429999999993</v>
      </c>
      <c r="Y47" s="3"/>
      <c r="Z47" s="7">
        <f t="shared" si="11"/>
        <v>0.18737733877686621</v>
      </c>
    </row>
    <row r="48" spans="1:26" s="69" customFormat="1" ht="15" hidden="1" customHeight="1" outlineLevel="2" x14ac:dyDescent="0.3">
      <c r="A48" s="26"/>
      <c r="B48" s="12" t="str">
        <f>CONCATENATE("          ","6004"," - ","STAFF HOURLY")</f>
        <v xml:space="preserve">          6004 - STAFF HOURLY</v>
      </c>
      <c r="C48" s="12"/>
      <c r="D48" s="8">
        <v>22366.26</v>
      </c>
      <c r="E48" s="3"/>
      <c r="F48" s="7">
        <f t="shared" si="4"/>
        <v>7.2129778687410662E-2</v>
      </c>
      <c r="G48" s="3"/>
      <c r="H48" s="8">
        <v>284.3</v>
      </c>
      <c r="I48" s="3"/>
      <c r="J48" s="7">
        <f t="shared" si="5"/>
        <v>5.6729578698571986E-3</v>
      </c>
      <c r="K48" s="3"/>
      <c r="L48" s="8">
        <f t="shared" si="6"/>
        <v>22081.96</v>
      </c>
      <c r="M48" s="3"/>
      <c r="N48" s="7">
        <f t="shared" si="7"/>
        <v>77.671333098839241</v>
      </c>
      <c r="O48" s="12"/>
      <c r="P48" s="8">
        <v>94891.49</v>
      </c>
      <c r="Q48" s="3"/>
      <c r="R48" s="7">
        <f t="shared" si="8"/>
        <v>9.5492077874584413E-2</v>
      </c>
      <c r="S48" s="3"/>
      <c r="T48" s="8">
        <v>21769.38</v>
      </c>
      <c r="U48" s="3"/>
      <c r="V48" s="7">
        <f t="shared" si="9"/>
        <v>6.6170564792341915E-2</v>
      </c>
      <c r="W48" s="3"/>
      <c r="X48" s="8">
        <f t="shared" si="10"/>
        <v>73122.11</v>
      </c>
      <c r="Y48" s="3"/>
      <c r="Z48" s="7">
        <f t="shared" si="11"/>
        <v>3.3589431577748194</v>
      </c>
    </row>
    <row r="49" spans="1:26" s="69" customFormat="1" ht="15" hidden="1" customHeight="1" outlineLevel="2" x14ac:dyDescent="0.3">
      <c r="A49" s="26"/>
      <c r="B49" s="12" t="str">
        <f>CONCATENATE("          ","6005"," - ","TEMPORARY WAGES-HOURLY")</f>
        <v xml:space="preserve">          6005 - TEMPORARY WAGES-HOURLY</v>
      </c>
      <c r="C49" s="12"/>
      <c r="D49" s="8">
        <v>19547.66</v>
      </c>
      <c r="E49" s="3"/>
      <c r="F49" s="7">
        <f t="shared" si="4"/>
        <v>6.3039971352239932E-2</v>
      </c>
      <c r="G49" s="3"/>
      <c r="H49" s="8"/>
      <c r="I49" s="3"/>
      <c r="J49" s="7">
        <f t="shared" si="5"/>
        <v>0</v>
      </c>
      <c r="K49" s="3"/>
      <c r="L49" s="8">
        <f t="shared" si="6"/>
        <v>19547.66</v>
      </c>
      <c r="M49" s="3"/>
      <c r="N49" s="7">
        <f t="shared" si="7"/>
        <v>0</v>
      </c>
      <c r="O49" s="12"/>
      <c r="P49" s="8">
        <v>99355.17</v>
      </c>
      <c r="Q49" s="3"/>
      <c r="R49" s="7">
        <f t="shared" si="8"/>
        <v>9.9984009428902121E-2</v>
      </c>
      <c r="S49" s="3"/>
      <c r="T49" s="8">
        <v>4868.67</v>
      </c>
      <c r="U49" s="3"/>
      <c r="V49" s="7">
        <f t="shared" si="9"/>
        <v>1.4798889251211166E-2</v>
      </c>
      <c r="W49" s="3"/>
      <c r="X49" s="8">
        <f t="shared" si="10"/>
        <v>94486.5</v>
      </c>
      <c r="Y49" s="3"/>
      <c r="Z49" s="7">
        <f t="shared" si="11"/>
        <v>19.407045455945873</v>
      </c>
    </row>
    <row r="50" spans="1:26" s="69" customFormat="1" ht="15" hidden="1" customHeight="1" outlineLevel="2" x14ac:dyDescent="0.3">
      <c r="A50" s="26"/>
      <c r="B50" s="12" t="str">
        <f>CONCATENATE("          ","6006"," - ","TEMPORARY PART TIME")</f>
        <v xml:space="preserve">          6006 - TEMPORARY PART TIME</v>
      </c>
      <c r="C50" s="12"/>
      <c r="D50" s="8">
        <v>641</v>
      </c>
      <c r="E50" s="3"/>
      <c r="F50" s="7">
        <f t="shared" si="4"/>
        <v>2.0671845958434819E-3</v>
      </c>
      <c r="G50" s="3"/>
      <c r="H50" s="8"/>
      <c r="I50" s="3"/>
      <c r="J50" s="7">
        <f t="shared" si="5"/>
        <v>0</v>
      </c>
      <c r="K50" s="3"/>
      <c r="L50" s="8">
        <f t="shared" si="6"/>
        <v>641</v>
      </c>
      <c r="M50" s="3"/>
      <c r="N50" s="7">
        <f t="shared" si="7"/>
        <v>0</v>
      </c>
      <c r="O50" s="12"/>
      <c r="P50" s="8">
        <v>641</v>
      </c>
      <c r="Q50" s="3"/>
      <c r="R50" s="7">
        <f t="shared" si="8"/>
        <v>6.4505702163185135E-4</v>
      </c>
      <c r="S50" s="3"/>
      <c r="T50" s="8"/>
      <c r="U50" s="3"/>
      <c r="V50" s="7">
        <f t="shared" si="9"/>
        <v>0</v>
      </c>
      <c r="W50" s="3"/>
      <c r="X50" s="8">
        <f t="shared" si="10"/>
        <v>641</v>
      </c>
      <c r="Y50" s="3"/>
      <c r="Z50" s="7">
        <f t="shared" si="11"/>
        <v>0</v>
      </c>
    </row>
    <row r="51" spans="1:26" s="69" customFormat="1" ht="15" hidden="1" customHeight="1" outlineLevel="2" x14ac:dyDescent="0.3">
      <c r="A51" s="26"/>
      <c r="B51" s="12" t="str">
        <f>CONCATENATE("          ","6007"," - ","STUDENT HOURLY")</f>
        <v xml:space="preserve">          6007 - STUDENT HOURLY</v>
      </c>
      <c r="C51" s="12"/>
      <c r="D51" s="8">
        <v>26016.959999999999</v>
      </c>
      <c r="E51" s="3"/>
      <c r="F51" s="7">
        <f t="shared" si="4"/>
        <v>8.390305607281752E-2</v>
      </c>
      <c r="G51" s="3"/>
      <c r="H51" s="8">
        <v>325</v>
      </c>
      <c r="I51" s="3"/>
      <c r="J51" s="7">
        <f t="shared" si="5"/>
        <v>6.4850907763052742E-3</v>
      </c>
      <c r="K51" s="3"/>
      <c r="L51" s="8">
        <f t="shared" si="6"/>
        <v>25691.96</v>
      </c>
      <c r="M51" s="3"/>
      <c r="N51" s="7">
        <f t="shared" si="7"/>
        <v>79.052184615384618</v>
      </c>
      <c r="O51" s="12"/>
      <c r="P51" s="8">
        <v>117684.94</v>
      </c>
      <c r="Q51" s="3"/>
      <c r="R51" s="7">
        <f t="shared" si="8"/>
        <v>0.11842979233591751</v>
      </c>
      <c r="S51" s="3"/>
      <c r="T51" s="8">
        <v>555.71</v>
      </c>
      <c r="U51" s="3"/>
      <c r="V51" s="7">
        <f t="shared" si="9"/>
        <v>1.6891452379788642E-3</v>
      </c>
      <c r="W51" s="3"/>
      <c r="X51" s="8">
        <f t="shared" si="10"/>
        <v>117129.23</v>
      </c>
      <c r="Y51" s="3"/>
      <c r="Z51" s="7">
        <f t="shared" si="11"/>
        <v>210.77401882276726</v>
      </c>
    </row>
    <row r="52" spans="1:26" s="69" customFormat="1" ht="15" hidden="1" customHeight="1" outlineLevel="2" x14ac:dyDescent="0.3">
      <c r="A52" s="26"/>
      <c r="B52" s="12" t="str">
        <f>CONCATENATE("          ","6008"," - ","STUDENT HOURLY-FICA EXEMPT")</f>
        <v xml:space="preserve">          6008 - STUDENT HOURLY-FICA EXEMPT</v>
      </c>
      <c r="C52" s="12"/>
      <c r="D52" s="8">
        <v>2286.4</v>
      </c>
      <c r="E52" s="3"/>
      <c r="F52" s="7">
        <f t="shared" si="4"/>
        <v>7.3734958813362513E-3</v>
      </c>
      <c r="G52" s="3"/>
      <c r="H52" s="8"/>
      <c r="I52" s="3"/>
      <c r="J52" s="7">
        <f t="shared" si="5"/>
        <v>0</v>
      </c>
      <c r="K52" s="3"/>
      <c r="L52" s="8">
        <f t="shared" si="6"/>
        <v>2286.4</v>
      </c>
      <c r="M52" s="3"/>
      <c r="N52" s="7">
        <f t="shared" si="7"/>
        <v>0</v>
      </c>
      <c r="O52" s="12"/>
      <c r="P52" s="8">
        <v>2286.4</v>
      </c>
      <c r="Q52" s="3"/>
      <c r="R52" s="7">
        <f t="shared" si="8"/>
        <v>2.3008710986880889E-3</v>
      </c>
      <c r="S52" s="3"/>
      <c r="T52" s="8"/>
      <c r="U52" s="3"/>
      <c r="V52" s="7">
        <f t="shared" si="9"/>
        <v>0</v>
      </c>
      <c r="W52" s="3"/>
      <c r="X52" s="8">
        <f t="shared" si="10"/>
        <v>2286.4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5"/>
      <c r="B53" s="14" t="str">
        <f>CONCATENATE("     ","Advertising/Promo                                 ")</f>
        <v xml:space="preserve">     Advertising/Promo                                 </v>
      </c>
      <c r="C53" s="14"/>
      <c r="D53" s="2">
        <f>SUM(OSRRefD22_2x_0)</f>
        <v>678.69</v>
      </c>
      <c r="E53" s="2"/>
      <c r="F53" s="6">
        <f t="shared" si="4"/>
        <v>2.1887324701295053E-3</v>
      </c>
      <c r="G53" s="2"/>
      <c r="H53" s="2">
        <f>SUM(OSRRefH22_2x_0)</f>
        <v>78.48</v>
      </c>
      <c r="I53" s="2"/>
      <c r="J53" s="6">
        <f t="shared" si="5"/>
        <v>1.5659997665367323E-3</v>
      </c>
      <c r="K53" s="2"/>
      <c r="L53" s="2">
        <f t="shared" si="6"/>
        <v>600.21</v>
      </c>
      <c r="M53" s="2"/>
      <c r="N53" s="6">
        <f t="shared" si="7"/>
        <v>7.647935779816514</v>
      </c>
      <c r="O53" s="14"/>
      <c r="P53" s="2">
        <f>SUM(OSRRefP22_2x_0)</f>
        <v>1945.2</v>
      </c>
      <c r="Q53" s="2"/>
      <c r="R53" s="6">
        <f t="shared" si="8"/>
        <v>1.9575115732890442E-3</v>
      </c>
      <c r="S53" s="2"/>
      <c r="T53" s="2">
        <f>SUM(OSRRefT22_2x_0)</f>
        <v>217.83</v>
      </c>
      <c r="U53" s="2"/>
      <c r="V53" s="6">
        <f t="shared" si="9"/>
        <v>6.6211964367914196E-4</v>
      </c>
      <c r="W53" s="2"/>
      <c r="X53" s="2">
        <f t="shared" si="10"/>
        <v>1727.3700000000001</v>
      </c>
      <c r="Y53" s="2"/>
      <c r="Z53" s="6">
        <f t="shared" si="11"/>
        <v>7.9298994628839008</v>
      </c>
    </row>
    <row r="54" spans="1:26" s="69" customFormat="1" ht="15" hidden="1" customHeight="1" outlineLevel="2" x14ac:dyDescent="0.3">
      <c r="A54" s="26"/>
      <c r="B54" s="12" t="str">
        <f>CONCATENATE("          ","6362"," - ","ADVERTISING EXPENSE")</f>
        <v xml:space="preserve">          6362 - ADVERTISING EXPENSE</v>
      </c>
      <c r="C54" s="12"/>
      <c r="D54" s="8">
        <v>678.69</v>
      </c>
      <c r="E54" s="3"/>
      <c r="F54" s="7">
        <f t="shared" si="4"/>
        <v>2.1887324701295053E-3</v>
      </c>
      <c r="G54" s="3"/>
      <c r="H54" s="8">
        <v>78.48</v>
      </c>
      <c r="I54" s="3"/>
      <c r="J54" s="7">
        <f t="shared" si="5"/>
        <v>1.5659997665367323E-3</v>
      </c>
      <c r="K54" s="3"/>
      <c r="L54" s="8">
        <f t="shared" si="6"/>
        <v>600.21</v>
      </c>
      <c r="M54" s="3"/>
      <c r="N54" s="7">
        <f t="shared" si="7"/>
        <v>7.647935779816514</v>
      </c>
      <c r="O54" s="12"/>
      <c r="P54" s="8">
        <v>1945.2</v>
      </c>
      <c r="Q54" s="3"/>
      <c r="R54" s="7">
        <f t="shared" si="8"/>
        <v>1.9575115732890442E-3</v>
      </c>
      <c r="S54" s="3"/>
      <c r="T54" s="8">
        <v>217.83</v>
      </c>
      <c r="U54" s="3"/>
      <c r="V54" s="7">
        <f t="shared" si="9"/>
        <v>6.6211964367914196E-4</v>
      </c>
      <c r="W54" s="3"/>
      <c r="X54" s="8">
        <f t="shared" si="10"/>
        <v>1727.3700000000001</v>
      </c>
      <c r="Y54" s="3"/>
      <c r="Z54" s="7">
        <f t="shared" si="11"/>
        <v>7.9298994628839008</v>
      </c>
    </row>
    <row r="55" spans="1:26" s="68" customFormat="1" ht="15" customHeight="1" outlineLevel="1" collapsed="1" x14ac:dyDescent="0.3">
      <c r="A55" s="25"/>
      <c r="B55" s="14" t="str">
        <f>CONCATENATE("     ","Bad Debts/Over/Short                              ")</f>
        <v xml:space="preserve">     Bad Debts/Over/Short                              </v>
      </c>
      <c r="C55" s="14"/>
      <c r="D55" s="2">
        <f>SUM(OSRRefD22_3x_0)</f>
        <v>0.35</v>
      </c>
      <c r="E55" s="2"/>
      <c r="F55" s="6">
        <f t="shared" si="4"/>
        <v>1.128727938448079E-6</v>
      </c>
      <c r="G55" s="2"/>
      <c r="H55" s="2">
        <f>SUM(OSRRefH22_3x_0)</f>
        <v>0</v>
      </c>
      <c r="I55" s="2"/>
      <c r="J55" s="6">
        <f t="shared" si="5"/>
        <v>0</v>
      </c>
      <c r="K55" s="2"/>
      <c r="L55" s="2">
        <f t="shared" si="6"/>
        <v>0.35</v>
      </c>
      <c r="M55" s="2"/>
      <c r="N55" s="6">
        <f t="shared" si="7"/>
        <v>0</v>
      </c>
      <c r="O55" s="14"/>
      <c r="P55" s="2">
        <f>SUM(OSRRefP22_3x_0)</f>
        <v>-72.28</v>
      </c>
      <c r="Q55" s="2"/>
      <c r="R55" s="6">
        <f t="shared" si="8"/>
        <v>-7.2737475075741365E-5</v>
      </c>
      <c r="S55" s="2"/>
      <c r="T55" s="2">
        <f>SUM(OSRRefT22_3x_0)</f>
        <v>12.1</v>
      </c>
      <c r="U55" s="2"/>
      <c r="V55" s="6">
        <f t="shared" si="9"/>
        <v>3.6779358621482887E-5</v>
      </c>
      <c r="W55" s="2"/>
      <c r="X55" s="2">
        <f t="shared" si="10"/>
        <v>-84.38</v>
      </c>
      <c r="Y55" s="2"/>
      <c r="Z55" s="6">
        <f t="shared" si="11"/>
        <v>-6.9735537190082644</v>
      </c>
    </row>
    <row r="56" spans="1:26" s="69" customFormat="1" ht="15" hidden="1" customHeight="1" outlineLevel="2" x14ac:dyDescent="0.3">
      <c r="A56" s="26"/>
      <c r="B56" s="12" t="str">
        <f>CONCATENATE("          ","6272"," - ","CASH (OVER/SHORT)")</f>
        <v xml:space="preserve">          6272 - CASH (OVER/SHORT)</v>
      </c>
      <c r="C56" s="12"/>
      <c r="D56" s="8">
        <v>0.35</v>
      </c>
      <c r="E56" s="3"/>
      <c r="F56" s="7">
        <f t="shared" si="4"/>
        <v>1.128727938448079E-6</v>
      </c>
      <c r="G56" s="3"/>
      <c r="H56" s="8"/>
      <c r="I56" s="3"/>
      <c r="J56" s="7">
        <f t="shared" si="5"/>
        <v>0</v>
      </c>
      <c r="K56" s="3"/>
      <c r="L56" s="8">
        <f t="shared" si="6"/>
        <v>0.35</v>
      </c>
      <c r="M56" s="3"/>
      <c r="N56" s="7">
        <f t="shared" si="7"/>
        <v>0</v>
      </c>
      <c r="O56" s="12"/>
      <c r="P56" s="8">
        <v>-72.28</v>
      </c>
      <c r="Q56" s="3"/>
      <c r="R56" s="7">
        <f t="shared" si="8"/>
        <v>-7.2737475075741365E-5</v>
      </c>
      <c r="S56" s="3"/>
      <c r="T56" s="8">
        <v>12.1</v>
      </c>
      <c r="U56" s="3"/>
      <c r="V56" s="7">
        <f t="shared" si="9"/>
        <v>3.6779358621482887E-5</v>
      </c>
      <c r="W56" s="3"/>
      <c r="X56" s="8">
        <f t="shared" si="10"/>
        <v>-84.38</v>
      </c>
      <c r="Y56" s="3"/>
      <c r="Z56" s="7">
        <f t="shared" si="11"/>
        <v>-6.9735537190082644</v>
      </c>
    </row>
    <row r="57" spans="1:26" s="68" customFormat="1" ht="15" customHeight="1" outlineLevel="1" collapsed="1" x14ac:dyDescent="0.3">
      <c r="A57" s="25"/>
      <c r="B57" s="14" t="str">
        <f>CONCATENATE("     ","Bank/card Fees                                    ")</f>
        <v xml:space="preserve">     Bank/card Fees                                    </v>
      </c>
      <c r="C57" s="14"/>
      <c r="D57" s="2">
        <f>SUM(OSRRefD22_4x_0)</f>
        <v>10178.36</v>
      </c>
      <c r="E57" s="2"/>
      <c r="F57" s="6">
        <f t="shared" si="4"/>
        <v>3.2824569427378256E-2</v>
      </c>
      <c r="G57" s="2"/>
      <c r="H57" s="2">
        <f>SUM(OSRRefH22_4x_0)</f>
        <v>1006.81</v>
      </c>
      <c r="I57" s="2"/>
      <c r="J57" s="6">
        <f t="shared" si="5"/>
        <v>2.0090013059975119E-2</v>
      </c>
      <c r="K57" s="2"/>
      <c r="L57" s="2">
        <f t="shared" si="6"/>
        <v>9171.5500000000011</v>
      </c>
      <c r="M57" s="2"/>
      <c r="N57" s="6">
        <f t="shared" si="7"/>
        <v>9.1095142082418743</v>
      </c>
      <c r="O57" s="14"/>
      <c r="P57" s="2">
        <f>SUM(OSRRefP22_4x_0)</f>
        <v>37413.96</v>
      </c>
      <c r="Q57" s="2"/>
      <c r="R57" s="6">
        <f t="shared" si="8"/>
        <v>3.7650760694310795E-2</v>
      </c>
      <c r="S57" s="2"/>
      <c r="T57" s="2">
        <f>SUM(OSRRefT22_4x_0)</f>
        <v>6071.62</v>
      </c>
      <c r="U57" s="2"/>
      <c r="V57" s="6">
        <f t="shared" si="9"/>
        <v>1.8455395817633714E-2</v>
      </c>
      <c r="W57" s="2"/>
      <c r="X57" s="2">
        <f t="shared" si="10"/>
        <v>31342.34</v>
      </c>
      <c r="Y57" s="2"/>
      <c r="Z57" s="6">
        <f t="shared" si="11"/>
        <v>5.1621050065715579</v>
      </c>
    </row>
    <row r="58" spans="1:26" s="69" customFormat="1" ht="15" hidden="1" customHeight="1" outlineLevel="2" x14ac:dyDescent="0.3">
      <c r="A58" s="26"/>
      <c r="B58" s="12" t="str">
        <f>CONCATENATE("          ","6381"," - ","BANK/CREDIT CARD FEES")</f>
        <v xml:space="preserve">          6381 - BANK/CREDIT CARD FEES</v>
      </c>
      <c r="C58" s="12"/>
      <c r="D58" s="8">
        <v>10178.36</v>
      </c>
      <c r="E58" s="3"/>
      <c r="F58" s="7">
        <f t="shared" si="4"/>
        <v>3.2824569427378256E-2</v>
      </c>
      <c r="G58" s="3"/>
      <c r="H58" s="8">
        <v>1006.81</v>
      </c>
      <c r="I58" s="3"/>
      <c r="J58" s="7">
        <f t="shared" si="5"/>
        <v>2.0090013059975119E-2</v>
      </c>
      <c r="K58" s="3"/>
      <c r="L58" s="8">
        <f t="shared" si="6"/>
        <v>9171.5500000000011</v>
      </c>
      <c r="M58" s="3"/>
      <c r="N58" s="7">
        <f t="shared" si="7"/>
        <v>9.1095142082418743</v>
      </c>
      <c r="O58" s="12"/>
      <c r="P58" s="8">
        <v>37413.96</v>
      </c>
      <c r="Q58" s="3"/>
      <c r="R58" s="7">
        <f t="shared" si="8"/>
        <v>3.7650760694310795E-2</v>
      </c>
      <c r="S58" s="3"/>
      <c r="T58" s="8">
        <v>6071.62</v>
      </c>
      <c r="U58" s="3"/>
      <c r="V58" s="7">
        <f t="shared" si="9"/>
        <v>1.8455395817633714E-2</v>
      </c>
      <c r="W58" s="3"/>
      <c r="X58" s="8">
        <f t="shared" si="10"/>
        <v>31342.34</v>
      </c>
      <c r="Y58" s="3"/>
      <c r="Z58" s="7">
        <f t="shared" si="11"/>
        <v>5.1621050065715579</v>
      </c>
    </row>
    <row r="59" spans="1:26" s="68" customFormat="1" ht="15" customHeight="1" outlineLevel="1" collapsed="1" x14ac:dyDescent="0.3">
      <c r="A59" s="25"/>
      <c r="B59" s="14" t="str">
        <f>CONCATENATE("     ","Depreciation                                      ")</f>
        <v xml:space="preserve">     Depreciation                                      </v>
      </c>
      <c r="C59" s="14"/>
      <c r="D59" s="2">
        <f>SUM(OSRRefD22_5x_0)</f>
        <v>39106.79</v>
      </c>
      <c r="E59" s="2"/>
      <c r="F59" s="6">
        <f t="shared" si="4"/>
        <v>0.1261169327314913</v>
      </c>
      <c r="G59" s="2"/>
      <c r="H59" s="2">
        <f>SUM(OSRRefH22_5x_0)</f>
        <v>45872.85</v>
      </c>
      <c r="I59" s="2"/>
      <c r="J59" s="6">
        <f t="shared" si="5"/>
        <v>0.91535260436257049</v>
      </c>
      <c r="K59" s="2"/>
      <c r="L59" s="2">
        <f t="shared" si="6"/>
        <v>-6766.0599999999977</v>
      </c>
      <c r="M59" s="2"/>
      <c r="N59" s="6">
        <f t="shared" si="7"/>
        <v>-0.14749595893867501</v>
      </c>
      <c r="O59" s="14"/>
      <c r="P59" s="2">
        <f>SUM(OSRRefP22_5x_0)</f>
        <v>315374.82</v>
      </c>
      <c r="Q59" s="2"/>
      <c r="R59" s="6">
        <f t="shared" si="8"/>
        <v>0.31737089249123435</v>
      </c>
      <c r="S59" s="2"/>
      <c r="T59" s="2">
        <f>SUM(OSRRefT22_5x_0)</f>
        <v>369987.6</v>
      </c>
      <c r="U59" s="2"/>
      <c r="V59" s="6">
        <f t="shared" si="9"/>
        <v>1.1246203823059306</v>
      </c>
      <c r="W59" s="2"/>
      <c r="X59" s="2">
        <f t="shared" si="10"/>
        <v>-54612.77999999997</v>
      </c>
      <c r="Y59" s="2"/>
      <c r="Z59" s="6">
        <f t="shared" si="11"/>
        <v>-0.14760705493913842</v>
      </c>
    </row>
    <row r="60" spans="1:26" s="69" customFormat="1" ht="15" hidden="1" customHeight="1" outlineLevel="2" x14ac:dyDescent="0.3">
      <c r="A60" s="26"/>
      <c r="B60" s="12" t="str">
        <f>CONCATENATE("          ","6321"," - ","BUILDING DEPRECIATION")</f>
        <v xml:space="preserve">          6321 - BUILDING DEPRECIATION</v>
      </c>
      <c r="C60" s="12"/>
      <c r="D60" s="8">
        <v>28619.91</v>
      </c>
      <c r="E60" s="3"/>
      <c r="F60" s="7">
        <f t="shared" si="4"/>
        <v>9.2297405751055883E-2</v>
      </c>
      <c r="G60" s="3"/>
      <c r="H60" s="8">
        <v>28664</v>
      </c>
      <c r="I60" s="3"/>
      <c r="J60" s="7">
        <f t="shared" si="5"/>
        <v>0.57196505234465966</v>
      </c>
      <c r="K60" s="3"/>
      <c r="L60" s="8">
        <f t="shared" si="6"/>
        <v>-44.090000000000146</v>
      </c>
      <c r="M60" s="3"/>
      <c r="N60" s="7">
        <f t="shared" si="7"/>
        <v>-1.5381663410549869E-3</v>
      </c>
      <c r="O60" s="12"/>
      <c r="P60" s="8">
        <v>229047.42</v>
      </c>
      <c r="Q60" s="3"/>
      <c r="R60" s="7">
        <f t="shared" si="8"/>
        <v>0.23049710851428976</v>
      </c>
      <c r="S60" s="3"/>
      <c r="T60" s="8">
        <v>230096.19</v>
      </c>
      <c r="U60" s="3"/>
      <c r="V60" s="7">
        <f t="shared" si="9"/>
        <v>0.69940415615263352</v>
      </c>
      <c r="W60" s="3"/>
      <c r="X60" s="8">
        <f t="shared" si="10"/>
        <v>-1048.7699999999895</v>
      </c>
      <c r="Y60" s="3"/>
      <c r="Z60" s="7">
        <f t="shared" si="11"/>
        <v>-4.5579633456772559E-3</v>
      </c>
    </row>
    <row r="61" spans="1:26" s="69" customFormat="1" ht="15" hidden="1" customHeight="1" outlineLevel="2" x14ac:dyDescent="0.3">
      <c r="A61" s="26"/>
      <c r="B61" s="12" t="str">
        <f>CONCATENATE("          ","6322"," - ","EQUIPMENT DEPRECIATION EXPENSE")</f>
        <v xml:space="preserve">          6322 - EQUIPMENT DEPRECIATION EXPENSE</v>
      </c>
      <c r="C61" s="12"/>
      <c r="D61" s="8">
        <v>10486.88</v>
      </c>
      <c r="E61" s="3"/>
      <c r="F61" s="7">
        <f t="shared" si="4"/>
        <v>3.3819526980435402E-2</v>
      </c>
      <c r="G61" s="3"/>
      <c r="H61" s="8">
        <v>17208.849999999999</v>
      </c>
      <c r="I61" s="3"/>
      <c r="J61" s="7">
        <f t="shared" si="5"/>
        <v>0.34338755201791082</v>
      </c>
      <c r="K61" s="3"/>
      <c r="L61" s="8">
        <f t="shared" si="6"/>
        <v>-6721.9699999999993</v>
      </c>
      <c r="M61" s="3"/>
      <c r="N61" s="7">
        <f t="shared" si="7"/>
        <v>-0.39061122620047245</v>
      </c>
      <c r="O61" s="12"/>
      <c r="P61" s="8">
        <v>86327.4</v>
      </c>
      <c r="Q61" s="3"/>
      <c r="R61" s="7">
        <f t="shared" si="8"/>
        <v>8.6873783976944577E-2</v>
      </c>
      <c r="S61" s="3"/>
      <c r="T61" s="8">
        <v>139891.41</v>
      </c>
      <c r="U61" s="3"/>
      <c r="V61" s="7">
        <f t="shared" si="9"/>
        <v>0.42521622615329735</v>
      </c>
      <c r="W61" s="3"/>
      <c r="X61" s="8">
        <f t="shared" si="10"/>
        <v>-53564.010000000009</v>
      </c>
      <c r="Y61" s="3"/>
      <c r="Z61" s="7">
        <f t="shared" si="11"/>
        <v>-0.38289706280035357</v>
      </c>
    </row>
    <row r="62" spans="1:26" s="68" customFormat="1" ht="15" customHeight="1" outlineLevel="1" collapsed="1" x14ac:dyDescent="0.3">
      <c r="A62" s="25"/>
      <c r="B62" s="14" t="str">
        <f>CONCATENATE("     ","Employees' Appreciation                           ")</f>
        <v xml:space="preserve">     Employees' Appreciation                           </v>
      </c>
      <c r="C62" s="14"/>
      <c r="D62" s="2">
        <f>SUM(OSRRefD22_6x_0)</f>
        <v>0</v>
      </c>
      <c r="E62" s="2"/>
      <c r="F62" s="6">
        <f t="shared" si="4"/>
        <v>0</v>
      </c>
      <c r="G62" s="2"/>
      <c r="H62" s="2">
        <f>SUM(OSRRefH22_6x_0)</f>
        <v>0</v>
      </c>
      <c r="I62" s="2"/>
      <c r="J62" s="6">
        <f t="shared" si="5"/>
        <v>0</v>
      </c>
      <c r="K62" s="2"/>
      <c r="L62" s="2">
        <f t="shared" si="6"/>
        <v>0</v>
      </c>
      <c r="M62" s="2"/>
      <c r="N62" s="6">
        <f t="shared" si="7"/>
        <v>0</v>
      </c>
      <c r="O62" s="14"/>
      <c r="P62" s="2">
        <f>SUM(OSRRefP22_6x_0)</f>
        <v>314.87</v>
      </c>
      <c r="Q62" s="2"/>
      <c r="R62" s="6">
        <f t="shared" si="8"/>
        <v>3.1686287738100005E-4</v>
      </c>
      <c r="S62" s="2"/>
      <c r="T62" s="2">
        <f>SUM(OSRRefT22_6x_0)</f>
        <v>10</v>
      </c>
      <c r="U62" s="2"/>
      <c r="V62" s="6">
        <f t="shared" si="9"/>
        <v>3.0396164149985859E-5</v>
      </c>
      <c r="W62" s="2"/>
      <c r="X62" s="2">
        <f t="shared" si="10"/>
        <v>304.87</v>
      </c>
      <c r="Y62" s="2"/>
      <c r="Z62" s="6">
        <f t="shared" si="11"/>
        <v>30.487000000000002</v>
      </c>
    </row>
    <row r="63" spans="1:26" s="69" customFormat="1" ht="15" hidden="1" customHeight="1" outlineLevel="2" x14ac:dyDescent="0.3">
      <c r="A63" s="26"/>
      <c r="B63" s="12" t="str">
        <f>CONCATENATE("          ","6277"," - ","EMPLOYEE APPRECIATION")</f>
        <v xml:space="preserve">          6277 - EMPLOYEE APPRECIATION</v>
      </c>
      <c r="C63" s="12"/>
      <c r="D63" s="8"/>
      <c r="E63" s="3"/>
      <c r="F63" s="7">
        <f t="shared" si="4"/>
        <v>0</v>
      </c>
      <c r="G63" s="3"/>
      <c r="H63" s="8"/>
      <c r="I63" s="3"/>
      <c r="J63" s="7">
        <f t="shared" si="5"/>
        <v>0</v>
      </c>
      <c r="K63" s="3"/>
      <c r="L63" s="8">
        <f t="shared" si="6"/>
        <v>0</v>
      </c>
      <c r="M63" s="3"/>
      <c r="N63" s="7">
        <f t="shared" si="7"/>
        <v>0</v>
      </c>
      <c r="O63" s="12"/>
      <c r="P63" s="8">
        <v>314.87</v>
      </c>
      <c r="Q63" s="3"/>
      <c r="R63" s="7">
        <f t="shared" si="8"/>
        <v>3.1686287738100005E-4</v>
      </c>
      <c r="S63" s="3"/>
      <c r="T63" s="8">
        <v>10</v>
      </c>
      <c r="U63" s="3"/>
      <c r="V63" s="7">
        <f t="shared" si="9"/>
        <v>3.0396164149985859E-5</v>
      </c>
      <c r="W63" s="3"/>
      <c r="X63" s="8">
        <f t="shared" si="10"/>
        <v>304.87</v>
      </c>
      <c r="Y63" s="3"/>
      <c r="Z63" s="7">
        <f t="shared" si="11"/>
        <v>30.487000000000002</v>
      </c>
    </row>
    <row r="64" spans="1:26" s="68" customFormat="1" ht="15" customHeight="1" outlineLevel="1" collapsed="1" x14ac:dyDescent="0.3">
      <c r="A64" s="25"/>
      <c r="B64" s="14" t="str">
        <f>CONCATENATE("     ","Equipment Rental                                  ")</f>
        <v xml:space="preserve">     Equipment Rental                                  </v>
      </c>
      <c r="C64" s="14"/>
      <c r="D64" s="2">
        <f>SUM(OSRRefD22_7x_0)</f>
        <v>1064.47</v>
      </c>
      <c r="E64" s="2"/>
      <c r="F64" s="6">
        <f t="shared" si="4"/>
        <v>3.4328486532566476E-3</v>
      </c>
      <c r="G64" s="2"/>
      <c r="H64" s="2">
        <f>SUM(OSRRefH22_7x_0)</f>
        <v>431.95</v>
      </c>
      <c r="I64" s="2"/>
      <c r="J64" s="6">
        <f t="shared" si="5"/>
        <v>8.6191844948463481E-3</v>
      </c>
      <c r="K64" s="2"/>
      <c r="L64" s="2">
        <f t="shared" si="6"/>
        <v>632.52</v>
      </c>
      <c r="M64" s="2"/>
      <c r="N64" s="6">
        <f t="shared" si="7"/>
        <v>1.4643361500173631</v>
      </c>
      <c r="O64" s="14"/>
      <c r="P64" s="2">
        <f>SUM(OSRRefP22_7x_0)</f>
        <v>7420.66</v>
      </c>
      <c r="Q64" s="2"/>
      <c r="R64" s="6">
        <f t="shared" si="8"/>
        <v>7.4676268925781804E-3</v>
      </c>
      <c r="S64" s="2"/>
      <c r="T64" s="2">
        <f>SUM(OSRRefT22_7x_0)</f>
        <v>5161.38</v>
      </c>
      <c r="U64" s="2"/>
      <c r="V64" s="6">
        <f t="shared" si="9"/>
        <v>1.5688615372045401E-2</v>
      </c>
      <c r="W64" s="2"/>
      <c r="X64" s="2">
        <f t="shared" si="10"/>
        <v>2259.2799999999997</v>
      </c>
      <c r="Y64" s="2"/>
      <c r="Z64" s="6">
        <f t="shared" si="11"/>
        <v>0.43772789447783339</v>
      </c>
    </row>
    <row r="65" spans="1:26" s="69" customFormat="1" ht="15" hidden="1" customHeight="1" outlineLevel="2" x14ac:dyDescent="0.3">
      <c r="A65" s="26"/>
      <c r="B65" s="12" t="str">
        <f>CONCATENATE("          ","6351"," - ","EQUIPMENT RENTAL")</f>
        <v xml:space="preserve">          6351 - EQUIPMENT RENTAL</v>
      </c>
      <c r="C65" s="12"/>
      <c r="D65" s="8">
        <v>1064.47</v>
      </c>
      <c r="E65" s="3"/>
      <c r="F65" s="7">
        <f t="shared" si="4"/>
        <v>3.4328486532566476E-3</v>
      </c>
      <c r="G65" s="3"/>
      <c r="H65" s="8">
        <v>431.95</v>
      </c>
      <c r="I65" s="3"/>
      <c r="J65" s="7">
        <f t="shared" si="5"/>
        <v>8.6191844948463481E-3</v>
      </c>
      <c r="K65" s="3"/>
      <c r="L65" s="8">
        <f t="shared" si="6"/>
        <v>632.52</v>
      </c>
      <c r="M65" s="3"/>
      <c r="N65" s="7">
        <f t="shared" si="7"/>
        <v>1.4643361500173631</v>
      </c>
      <c r="O65" s="12"/>
      <c r="P65" s="8">
        <v>7420.66</v>
      </c>
      <c r="Q65" s="3"/>
      <c r="R65" s="7">
        <f t="shared" si="8"/>
        <v>7.4676268925781804E-3</v>
      </c>
      <c r="S65" s="3"/>
      <c r="T65" s="8">
        <v>5161.38</v>
      </c>
      <c r="U65" s="3"/>
      <c r="V65" s="7">
        <f t="shared" si="9"/>
        <v>1.5688615372045401E-2</v>
      </c>
      <c r="W65" s="3"/>
      <c r="X65" s="8">
        <f t="shared" si="10"/>
        <v>2259.2799999999997</v>
      </c>
      <c r="Y65" s="3"/>
      <c r="Z65" s="7">
        <f t="shared" si="11"/>
        <v>0.43772789447783339</v>
      </c>
    </row>
    <row r="66" spans="1:26" s="68" customFormat="1" ht="15" customHeight="1" outlineLevel="1" collapsed="1" x14ac:dyDescent="0.3">
      <c r="A66" s="25"/>
      <c r="B66" s="14" t="str">
        <f>CONCATENATE("     ","Freight out/Postage                               ")</f>
        <v xml:space="preserve">     Freight out/Postage                               </v>
      </c>
      <c r="C66" s="14"/>
      <c r="D66" s="2">
        <f>SUM(OSRRefD22_8x_0)</f>
        <v>0</v>
      </c>
      <c r="E66" s="2"/>
      <c r="F66" s="6">
        <f t="shared" ref="F66:F97" si="12">IF(D$12=0,0,D66/D$12)</f>
        <v>0</v>
      </c>
      <c r="G66" s="2"/>
      <c r="H66" s="2">
        <f>SUM(OSRRefH22_8x_0)</f>
        <v>90.46</v>
      </c>
      <c r="I66" s="2"/>
      <c r="J66" s="6">
        <f t="shared" ref="J66:J97" si="13">IF(H$12=0,0,H66/H$12)</f>
        <v>1.8050501896140771E-3</v>
      </c>
      <c r="K66" s="2"/>
      <c r="L66" s="2">
        <f t="shared" ref="L66:L97" si="14">+D66-H66</f>
        <v>-90.46</v>
      </c>
      <c r="M66" s="2"/>
      <c r="N66" s="6">
        <f t="shared" ref="N66:N97" si="15">IF(H66=0,0,L66/H66)</f>
        <v>-1</v>
      </c>
      <c r="O66" s="14"/>
      <c r="P66" s="2">
        <f>SUM(OSRRefP22_8x_0)</f>
        <v>0</v>
      </c>
      <c r="Q66" s="2"/>
      <c r="R66" s="6">
        <f t="shared" ref="R66:R97" si="16">IF(P$12=0,0,P66/P$12)</f>
        <v>0</v>
      </c>
      <c r="S66" s="2"/>
      <c r="T66" s="2">
        <f>SUM(OSRRefT22_8x_0)</f>
        <v>202.48</v>
      </c>
      <c r="U66" s="2"/>
      <c r="V66" s="6">
        <f t="shared" ref="V66:V97" si="17">IF(T$12=0,0,T66/T$12)</f>
        <v>6.1546153170891364E-4</v>
      </c>
      <c r="W66" s="2"/>
      <c r="X66" s="2">
        <f t="shared" ref="X66:X97" si="18">+P66-T66</f>
        <v>-202.48</v>
      </c>
      <c r="Y66" s="2"/>
      <c r="Z66" s="6">
        <f t="shared" ref="Z66:Z97" si="19">IF(T66=0,0,X66/T66)</f>
        <v>-1</v>
      </c>
    </row>
    <row r="67" spans="1:26" s="69" customFormat="1" ht="15" hidden="1" customHeight="1" outlineLevel="2" x14ac:dyDescent="0.3">
      <c r="A67" s="26"/>
      <c r="B67" s="12" t="str">
        <f>CONCATENATE("          ","6305"," - ","FREIGHT OUT")</f>
        <v xml:space="preserve">          6305 - FREIGHT OUT</v>
      </c>
      <c r="C67" s="12"/>
      <c r="D67" s="8"/>
      <c r="E67" s="3"/>
      <c r="F67" s="7">
        <f t="shared" si="12"/>
        <v>0</v>
      </c>
      <c r="G67" s="3"/>
      <c r="H67" s="8">
        <v>90.46</v>
      </c>
      <c r="I67" s="3"/>
      <c r="J67" s="7">
        <f t="shared" si="13"/>
        <v>1.8050501896140771E-3</v>
      </c>
      <c r="K67" s="3"/>
      <c r="L67" s="8">
        <f t="shared" si="14"/>
        <v>-90.46</v>
      </c>
      <c r="M67" s="3"/>
      <c r="N67" s="7">
        <f t="shared" si="15"/>
        <v>-1</v>
      </c>
      <c r="O67" s="12"/>
      <c r="P67" s="8"/>
      <c r="Q67" s="3"/>
      <c r="R67" s="7">
        <f t="shared" si="16"/>
        <v>0</v>
      </c>
      <c r="S67" s="3"/>
      <c r="T67" s="8">
        <v>207.89</v>
      </c>
      <c r="U67" s="3"/>
      <c r="V67" s="7">
        <f t="shared" si="17"/>
        <v>6.3190585651405596E-4</v>
      </c>
      <c r="W67" s="3"/>
      <c r="X67" s="8">
        <f t="shared" si="18"/>
        <v>-207.89</v>
      </c>
      <c r="Y67" s="3"/>
      <c r="Z67" s="7">
        <f t="shared" si="19"/>
        <v>-1</v>
      </c>
    </row>
    <row r="68" spans="1:26" s="69" customFormat="1" ht="15" hidden="1" customHeight="1" outlineLevel="2" x14ac:dyDescent="0.3">
      <c r="A68" s="26"/>
      <c r="B68" s="12" t="str">
        <f>CONCATENATE("          ","6307"," - ","POSTAGE")</f>
        <v xml:space="preserve">          6307 - POSTAGE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/>
      <c r="Q68" s="3"/>
      <c r="R68" s="7">
        <f t="shared" si="16"/>
        <v>0</v>
      </c>
      <c r="S68" s="3"/>
      <c r="T68" s="8">
        <v>-5.41</v>
      </c>
      <c r="U68" s="3"/>
      <c r="V68" s="7">
        <f t="shared" si="17"/>
        <v>-1.644432480514235E-5</v>
      </c>
      <c r="W68" s="3"/>
      <c r="X68" s="8">
        <f t="shared" si="18"/>
        <v>5.41</v>
      </c>
      <c r="Y68" s="3"/>
      <c r="Z68" s="7">
        <f t="shared" si="19"/>
        <v>-1</v>
      </c>
    </row>
    <row r="69" spans="1:26" s="68" customFormat="1" ht="15" customHeight="1" outlineLevel="1" collapsed="1" x14ac:dyDescent="0.3">
      <c r="A69" s="25"/>
      <c r="B69" s="14" t="str">
        <f>CONCATENATE("     ","General                                           ")</f>
        <v xml:space="preserve">     General                                           </v>
      </c>
      <c r="C69" s="14"/>
      <c r="D69" s="2">
        <f>SUM(OSRRefD22_9x_0)</f>
        <v>2846.65</v>
      </c>
      <c r="E69" s="2"/>
      <c r="F69" s="6">
        <f t="shared" si="12"/>
        <v>9.1802668170949259E-3</v>
      </c>
      <c r="G69" s="2"/>
      <c r="H69" s="2">
        <f>SUM(OSRRefH22_9x_0)</f>
        <v>1893.03</v>
      </c>
      <c r="I69" s="2"/>
      <c r="J69" s="6">
        <f t="shared" si="13"/>
        <v>3.7773758130058996E-2</v>
      </c>
      <c r="K69" s="2"/>
      <c r="L69" s="2">
        <f t="shared" si="14"/>
        <v>953.62000000000012</v>
      </c>
      <c r="M69" s="2"/>
      <c r="N69" s="6">
        <f t="shared" si="15"/>
        <v>0.5037532421567541</v>
      </c>
      <c r="O69" s="14"/>
      <c r="P69" s="2">
        <f>SUM(OSRRefP22_9x_0)</f>
        <v>22223.35</v>
      </c>
      <c r="Q69" s="2"/>
      <c r="R69" s="6">
        <f t="shared" si="16"/>
        <v>2.2364006180471453E-2</v>
      </c>
      <c r="S69" s="2"/>
      <c r="T69" s="2">
        <f>SUM(OSRRefT22_9x_0)</f>
        <v>9758.9699999999993</v>
      </c>
      <c r="U69" s="2"/>
      <c r="V69" s="6">
        <f t="shared" si="17"/>
        <v>2.9663525405478747E-2</v>
      </c>
      <c r="W69" s="2"/>
      <c r="X69" s="2">
        <f t="shared" si="18"/>
        <v>12464.38</v>
      </c>
      <c r="Y69" s="2"/>
      <c r="Z69" s="6">
        <f t="shared" si="19"/>
        <v>1.2772229036465939</v>
      </c>
    </row>
    <row r="70" spans="1:26" s="69" customFormat="1" ht="15" hidden="1" customHeight="1" outlineLevel="2" x14ac:dyDescent="0.3">
      <c r="A70" s="26"/>
      <c r="B70" s="12" t="str">
        <f>CONCATENATE("          ","6279"," - ","GENERAL EXPENSE")</f>
        <v xml:space="preserve">          6279 - GENERAL EXPENSE</v>
      </c>
      <c r="C70" s="12"/>
      <c r="D70" s="8">
        <v>2846.65</v>
      </c>
      <c r="E70" s="3"/>
      <c r="F70" s="7">
        <f t="shared" si="12"/>
        <v>9.1802668170949259E-3</v>
      </c>
      <c r="G70" s="3"/>
      <c r="H70" s="8">
        <v>1893.03</v>
      </c>
      <c r="I70" s="3"/>
      <c r="J70" s="7">
        <f t="shared" si="13"/>
        <v>3.7773758130058996E-2</v>
      </c>
      <c r="K70" s="3"/>
      <c r="L70" s="8">
        <f t="shared" si="14"/>
        <v>953.62000000000012</v>
      </c>
      <c r="M70" s="3"/>
      <c r="N70" s="7">
        <f t="shared" si="15"/>
        <v>0.5037532421567541</v>
      </c>
      <c r="O70" s="12"/>
      <c r="P70" s="8">
        <v>22223.35</v>
      </c>
      <c r="Q70" s="3"/>
      <c r="R70" s="7">
        <f t="shared" si="16"/>
        <v>2.2364006180471453E-2</v>
      </c>
      <c r="S70" s="3"/>
      <c r="T70" s="8">
        <v>9758.9699999999993</v>
      </c>
      <c r="U70" s="3"/>
      <c r="V70" s="7">
        <f t="shared" si="17"/>
        <v>2.9663525405478747E-2</v>
      </c>
      <c r="W70" s="3"/>
      <c r="X70" s="8">
        <f t="shared" si="18"/>
        <v>12464.38</v>
      </c>
      <c r="Y70" s="3"/>
      <c r="Z70" s="7">
        <f t="shared" si="19"/>
        <v>1.2772229036465939</v>
      </c>
    </row>
    <row r="71" spans="1:26" s="68" customFormat="1" ht="15" customHeight="1" outlineLevel="1" collapsed="1" x14ac:dyDescent="0.3">
      <c r="A71" s="25"/>
      <c r="B71" s="14" t="str">
        <f>CONCATENATE("     ","Insurance                                         ")</f>
        <v xml:space="preserve">     Insurance                                         </v>
      </c>
      <c r="C71" s="14"/>
      <c r="D71" s="2">
        <f>SUM(OSRRefD22_10x_0)</f>
        <v>6087.22</v>
      </c>
      <c r="E71" s="2"/>
      <c r="F71" s="6">
        <f t="shared" si="12"/>
        <v>1.963090080422833E-2</v>
      </c>
      <c r="G71" s="2"/>
      <c r="H71" s="2">
        <f>SUM(OSRRefH22_10x_0)</f>
        <v>4483.67</v>
      </c>
      <c r="I71" s="2"/>
      <c r="J71" s="6">
        <f t="shared" si="13"/>
        <v>8.9467713726143608E-2</v>
      </c>
      <c r="K71" s="2"/>
      <c r="L71" s="2">
        <f t="shared" si="14"/>
        <v>1603.5500000000002</v>
      </c>
      <c r="M71" s="2"/>
      <c r="N71" s="6">
        <f t="shared" si="15"/>
        <v>0.35764228857163888</v>
      </c>
      <c r="O71" s="14"/>
      <c r="P71" s="2">
        <f>SUM(OSRRefP22_10x_0)</f>
        <v>55580.76</v>
      </c>
      <c r="Q71" s="2"/>
      <c r="R71" s="6">
        <f t="shared" si="16"/>
        <v>5.593254213047541E-2</v>
      </c>
      <c r="S71" s="2"/>
      <c r="T71" s="2">
        <f>SUM(OSRRefT22_10x_0)</f>
        <v>41981.36</v>
      </c>
      <c r="U71" s="2"/>
      <c r="V71" s="6">
        <f t="shared" si="17"/>
        <v>0.12760723097996504</v>
      </c>
      <c r="W71" s="2"/>
      <c r="X71" s="2">
        <f t="shared" si="18"/>
        <v>13599.400000000001</v>
      </c>
      <c r="Y71" s="2"/>
      <c r="Z71" s="6">
        <f t="shared" si="19"/>
        <v>0.32393900531092851</v>
      </c>
    </row>
    <row r="72" spans="1:26" s="69" customFormat="1" ht="15" hidden="1" customHeight="1" outlineLevel="2" x14ac:dyDescent="0.3">
      <c r="A72" s="26"/>
      <c r="B72" s="12" t="str">
        <f>CONCATENATE("          ","6314"," - ","LIABILITY INSURANCE")</f>
        <v xml:space="preserve">          6314 - LIABILITY INSURANCE</v>
      </c>
      <c r="C72" s="12"/>
      <c r="D72" s="8">
        <v>6087.22</v>
      </c>
      <c r="E72" s="3"/>
      <c r="F72" s="7">
        <f t="shared" si="12"/>
        <v>1.963090080422833E-2</v>
      </c>
      <c r="G72" s="3"/>
      <c r="H72" s="8">
        <v>4483.67</v>
      </c>
      <c r="I72" s="3"/>
      <c r="J72" s="7">
        <f t="shared" si="13"/>
        <v>8.9467713726143608E-2</v>
      </c>
      <c r="K72" s="3"/>
      <c r="L72" s="8">
        <f t="shared" si="14"/>
        <v>1603.5500000000002</v>
      </c>
      <c r="M72" s="3"/>
      <c r="N72" s="7">
        <f t="shared" si="15"/>
        <v>0.35764228857163888</v>
      </c>
      <c r="O72" s="12"/>
      <c r="P72" s="8">
        <v>55580.76</v>
      </c>
      <c r="Q72" s="3"/>
      <c r="R72" s="7">
        <f t="shared" si="16"/>
        <v>5.593254213047541E-2</v>
      </c>
      <c r="S72" s="3"/>
      <c r="T72" s="8">
        <v>41981.36</v>
      </c>
      <c r="U72" s="3"/>
      <c r="V72" s="7">
        <f t="shared" si="17"/>
        <v>0.12760723097996504</v>
      </c>
      <c r="W72" s="3"/>
      <c r="X72" s="8">
        <f t="shared" si="18"/>
        <v>13599.400000000001</v>
      </c>
      <c r="Y72" s="3"/>
      <c r="Z72" s="7">
        <f t="shared" si="19"/>
        <v>0.32393900531092851</v>
      </c>
    </row>
    <row r="73" spans="1:26" s="68" customFormat="1" ht="15" customHeight="1" outlineLevel="1" collapsed="1" x14ac:dyDescent="0.3">
      <c r="A73" s="25"/>
      <c r="B73" s="14" t="str">
        <f>CONCATENATE("     ","Interest                                          ")</f>
        <v xml:space="preserve">     Interest                                          </v>
      </c>
      <c r="C73" s="14"/>
      <c r="D73" s="2">
        <f>SUM(OSRRefD22_11x_0)</f>
        <v>11158</v>
      </c>
      <c r="E73" s="2"/>
      <c r="F73" s="6">
        <f t="shared" si="12"/>
        <v>3.5983846677724758E-2</v>
      </c>
      <c r="G73" s="2"/>
      <c r="H73" s="2">
        <f>SUM(OSRRefH22_11x_0)</f>
        <v>11554</v>
      </c>
      <c r="I73" s="2"/>
      <c r="J73" s="6">
        <f t="shared" si="13"/>
        <v>0.23054996562901889</v>
      </c>
      <c r="K73" s="2"/>
      <c r="L73" s="2">
        <f t="shared" si="14"/>
        <v>-396</v>
      </c>
      <c r="M73" s="2"/>
      <c r="N73" s="6">
        <f t="shared" si="15"/>
        <v>-3.4273844555997926E-2</v>
      </c>
      <c r="O73" s="14"/>
      <c r="P73" s="2">
        <f>SUM(OSRRefP22_11x_0)</f>
        <v>88474</v>
      </c>
      <c r="Q73" s="2"/>
      <c r="R73" s="6">
        <f t="shared" si="16"/>
        <v>8.9033970252506103E-2</v>
      </c>
      <c r="S73" s="2"/>
      <c r="T73" s="2">
        <f>SUM(OSRRefT22_11x_0)</f>
        <v>91683</v>
      </c>
      <c r="U73" s="2"/>
      <c r="V73" s="6">
        <f t="shared" si="17"/>
        <v>0.27868115177631536</v>
      </c>
      <c r="W73" s="2"/>
      <c r="X73" s="2">
        <f t="shared" si="18"/>
        <v>-3209</v>
      </c>
      <c r="Y73" s="2"/>
      <c r="Z73" s="6">
        <f t="shared" si="19"/>
        <v>-3.5001036179008106E-2</v>
      </c>
    </row>
    <row r="74" spans="1:26" s="69" customFormat="1" ht="15" hidden="1" customHeight="1" outlineLevel="2" x14ac:dyDescent="0.3">
      <c r="A74" s="26"/>
      <c r="B74" s="12" t="str">
        <f>CONCATENATE("          ","6401"," - ","INTEREST EXPENSE")</f>
        <v xml:space="preserve">          6401 - INTEREST EXPENSE</v>
      </c>
      <c r="C74" s="12"/>
      <c r="D74" s="8">
        <v>11158</v>
      </c>
      <c r="E74" s="3"/>
      <c r="F74" s="7">
        <f t="shared" si="12"/>
        <v>3.5983846677724758E-2</v>
      </c>
      <c r="G74" s="3"/>
      <c r="H74" s="8">
        <v>11554</v>
      </c>
      <c r="I74" s="3"/>
      <c r="J74" s="7">
        <f t="shared" si="13"/>
        <v>0.23054996562901889</v>
      </c>
      <c r="K74" s="3"/>
      <c r="L74" s="8">
        <f t="shared" si="14"/>
        <v>-396</v>
      </c>
      <c r="M74" s="3"/>
      <c r="N74" s="7">
        <f t="shared" si="15"/>
        <v>-3.4273844555997926E-2</v>
      </c>
      <c r="O74" s="12"/>
      <c r="P74" s="8">
        <v>88474</v>
      </c>
      <c r="Q74" s="3"/>
      <c r="R74" s="7">
        <f t="shared" si="16"/>
        <v>8.9033970252506103E-2</v>
      </c>
      <c r="S74" s="3"/>
      <c r="T74" s="8">
        <v>91683</v>
      </c>
      <c r="U74" s="3"/>
      <c r="V74" s="7">
        <f t="shared" si="17"/>
        <v>0.27868115177631536</v>
      </c>
      <c r="W74" s="3"/>
      <c r="X74" s="8">
        <f t="shared" si="18"/>
        <v>-3209</v>
      </c>
      <c r="Y74" s="3"/>
      <c r="Z74" s="7">
        <f t="shared" si="19"/>
        <v>-3.5001036179008106E-2</v>
      </c>
    </row>
    <row r="75" spans="1:26" s="68" customFormat="1" ht="15" customHeight="1" outlineLevel="1" collapsed="1" x14ac:dyDescent="0.3">
      <c r="A75" s="25"/>
      <c r="B75" s="14" t="str">
        <f>CONCATENATE("     ","Rent                                              ")</f>
        <v xml:space="preserve">     Rent                                              </v>
      </c>
      <c r="C75" s="14"/>
      <c r="D75" s="2">
        <f>SUM(OSRRefD22_12x_0)</f>
        <v>1850</v>
      </c>
      <c r="E75" s="2"/>
      <c r="F75" s="6">
        <f t="shared" si="12"/>
        <v>5.9661333889398458E-3</v>
      </c>
      <c r="G75" s="2"/>
      <c r="H75" s="2">
        <f>SUM(OSRRefH22_12x_0)</f>
        <v>0</v>
      </c>
      <c r="I75" s="2"/>
      <c r="J75" s="6">
        <f t="shared" si="13"/>
        <v>0</v>
      </c>
      <c r="K75" s="2"/>
      <c r="L75" s="2">
        <f t="shared" si="14"/>
        <v>1850</v>
      </c>
      <c r="M75" s="2"/>
      <c r="N75" s="6">
        <f t="shared" si="15"/>
        <v>0</v>
      </c>
      <c r="O75" s="14"/>
      <c r="P75" s="2">
        <f>SUM(OSRRefP22_12x_0)</f>
        <v>14800</v>
      </c>
      <c r="Q75" s="2"/>
      <c r="R75" s="6">
        <f t="shared" si="16"/>
        <v>1.4893672262326676E-2</v>
      </c>
      <c r="S75" s="2"/>
      <c r="T75" s="2">
        <f>SUM(OSRRefT22_12x_0)</f>
        <v>11100</v>
      </c>
      <c r="U75" s="2"/>
      <c r="V75" s="6">
        <f t="shared" si="17"/>
        <v>3.3739742206484305E-2</v>
      </c>
      <c r="W75" s="2"/>
      <c r="X75" s="2">
        <f t="shared" si="18"/>
        <v>3700</v>
      </c>
      <c r="Y75" s="2"/>
      <c r="Z75" s="6">
        <f t="shared" si="19"/>
        <v>0.33333333333333331</v>
      </c>
    </row>
    <row r="76" spans="1:26" s="69" customFormat="1" ht="15" hidden="1" customHeight="1" outlineLevel="2" x14ac:dyDescent="0.3">
      <c r="A76" s="26"/>
      <c r="B76" s="12" t="str">
        <f>CONCATENATE("          ","6273"," - ","RENT")</f>
        <v xml:space="preserve">          6273 - RENT</v>
      </c>
      <c r="C76" s="12"/>
      <c r="D76" s="8">
        <v>1850</v>
      </c>
      <c r="E76" s="3"/>
      <c r="F76" s="7">
        <f t="shared" si="12"/>
        <v>5.9661333889398458E-3</v>
      </c>
      <c r="G76" s="3"/>
      <c r="H76" s="8"/>
      <c r="I76" s="3"/>
      <c r="J76" s="7">
        <f t="shared" si="13"/>
        <v>0</v>
      </c>
      <c r="K76" s="3"/>
      <c r="L76" s="8">
        <f t="shared" si="14"/>
        <v>1850</v>
      </c>
      <c r="M76" s="3"/>
      <c r="N76" s="7">
        <f t="shared" si="15"/>
        <v>0</v>
      </c>
      <c r="O76" s="12"/>
      <c r="P76" s="8">
        <v>14800</v>
      </c>
      <c r="Q76" s="3"/>
      <c r="R76" s="7">
        <f t="shared" si="16"/>
        <v>1.4893672262326676E-2</v>
      </c>
      <c r="S76" s="3"/>
      <c r="T76" s="8">
        <v>11100</v>
      </c>
      <c r="U76" s="3"/>
      <c r="V76" s="7">
        <f t="shared" si="17"/>
        <v>3.3739742206484305E-2</v>
      </c>
      <c r="W76" s="3"/>
      <c r="X76" s="8">
        <f t="shared" si="18"/>
        <v>3700</v>
      </c>
      <c r="Y76" s="3"/>
      <c r="Z76" s="7">
        <f t="shared" si="19"/>
        <v>0.33333333333333331</v>
      </c>
    </row>
    <row r="77" spans="1:26" s="68" customFormat="1" ht="15" customHeight="1" outlineLevel="1" collapsed="1" x14ac:dyDescent="0.3">
      <c r="A77" s="25"/>
      <c r="B77" s="14" t="str">
        <f>CONCATENATE("     ","Repair and Maintenance                            ")</f>
        <v xml:space="preserve">     Repair and Maintenance                            </v>
      </c>
      <c r="C77" s="14"/>
      <c r="D77" s="2">
        <f>SUM(OSRRefD22_13x_0)</f>
        <v>7395.51</v>
      </c>
      <c r="E77" s="2"/>
      <c r="F77" s="6">
        <f t="shared" si="12"/>
        <v>2.3850053588777578E-2</v>
      </c>
      <c r="G77" s="2"/>
      <c r="H77" s="2">
        <f>SUM(OSRRefH22_13x_0)</f>
        <v>2144.13</v>
      </c>
      <c r="I77" s="2"/>
      <c r="J77" s="6">
        <f t="shared" si="13"/>
        <v>4.2784239034459784E-2</v>
      </c>
      <c r="K77" s="2"/>
      <c r="L77" s="2">
        <f t="shared" si="14"/>
        <v>5251.38</v>
      </c>
      <c r="M77" s="2"/>
      <c r="N77" s="6">
        <f t="shared" si="15"/>
        <v>2.4491891816261142</v>
      </c>
      <c r="O77" s="14"/>
      <c r="P77" s="2">
        <f>SUM(OSRRefP22_13x_0)</f>
        <v>67897.070000000007</v>
      </c>
      <c r="Q77" s="2"/>
      <c r="R77" s="6">
        <f t="shared" si="16"/>
        <v>6.8326804604881941E-2</v>
      </c>
      <c r="S77" s="2"/>
      <c r="T77" s="2">
        <f>SUM(OSRRefT22_13x_0)</f>
        <v>27204.170000000002</v>
      </c>
      <c r="U77" s="2"/>
      <c r="V77" s="6">
        <f t="shared" si="17"/>
        <v>8.2690241688412089E-2</v>
      </c>
      <c r="W77" s="2"/>
      <c r="X77" s="2">
        <f t="shared" si="18"/>
        <v>40692.900000000009</v>
      </c>
      <c r="Y77" s="2"/>
      <c r="Z77" s="6">
        <f t="shared" si="19"/>
        <v>1.4958331755756564</v>
      </c>
    </row>
    <row r="78" spans="1:26" s="69" customFormat="1" ht="15" hidden="1" customHeight="1" outlineLevel="2" x14ac:dyDescent="0.3">
      <c r="A78" s="26"/>
      <c r="B78" s="12" t="str">
        <f>CONCATENATE("          ","6371"," - ","COMPUTER SOFTWARE MAINTENANCE")</f>
        <v xml:space="preserve">          6371 - COMPUTER SOFTWARE MAINTENANCE</v>
      </c>
      <c r="C78" s="12"/>
      <c r="D78" s="8"/>
      <c r="E78" s="3"/>
      <c r="F78" s="7">
        <f t="shared" si="12"/>
        <v>0</v>
      </c>
      <c r="G78" s="3"/>
      <c r="H78" s="8">
        <v>702.27</v>
      </c>
      <c r="I78" s="3"/>
      <c r="J78" s="7">
        <f t="shared" si="13"/>
        <v>1.4013183690695092E-2</v>
      </c>
      <c r="K78" s="3"/>
      <c r="L78" s="8">
        <f t="shared" si="14"/>
        <v>-702.27</v>
      </c>
      <c r="M78" s="3"/>
      <c r="N78" s="7">
        <f t="shared" si="15"/>
        <v>-1</v>
      </c>
      <c r="O78" s="12"/>
      <c r="P78" s="8">
        <v>6817.17</v>
      </c>
      <c r="Q78" s="3"/>
      <c r="R78" s="7">
        <f t="shared" si="16"/>
        <v>6.8603172794976719E-3</v>
      </c>
      <c r="S78" s="3"/>
      <c r="T78" s="8">
        <v>702.27</v>
      </c>
      <c r="U78" s="3"/>
      <c r="V78" s="7">
        <f t="shared" si="17"/>
        <v>2.1346314197610568E-3</v>
      </c>
      <c r="W78" s="3"/>
      <c r="X78" s="8">
        <f t="shared" si="18"/>
        <v>6114.9</v>
      </c>
      <c r="Y78" s="3"/>
      <c r="Z78" s="7">
        <f t="shared" si="19"/>
        <v>8.7073347857661574</v>
      </c>
    </row>
    <row r="79" spans="1:26" s="69" customFormat="1" ht="15" hidden="1" customHeight="1" outlineLevel="2" x14ac:dyDescent="0.3">
      <c r="A79" s="26"/>
      <c r="B79" s="12" t="str">
        <f>CONCATENATE("          ","6373"," - ","MAINTENANCE CONTRACTS")</f>
        <v xml:space="preserve">          6373 - MAINTENANCE CONTRACTS</v>
      </c>
      <c r="C79" s="12"/>
      <c r="D79" s="8">
        <v>902.75</v>
      </c>
      <c r="E79" s="3"/>
      <c r="F79" s="7">
        <f t="shared" si="12"/>
        <v>2.9113118469542951E-3</v>
      </c>
      <c r="G79" s="3"/>
      <c r="H79" s="8"/>
      <c r="I79" s="3"/>
      <c r="J79" s="7">
        <f t="shared" si="13"/>
        <v>0</v>
      </c>
      <c r="K79" s="3"/>
      <c r="L79" s="8">
        <f t="shared" si="14"/>
        <v>902.75</v>
      </c>
      <c r="M79" s="3"/>
      <c r="N79" s="7">
        <f t="shared" si="15"/>
        <v>0</v>
      </c>
      <c r="O79" s="12"/>
      <c r="P79" s="8">
        <v>15460.89</v>
      </c>
      <c r="Q79" s="3"/>
      <c r="R79" s="7">
        <f t="shared" si="16"/>
        <v>1.5558745171884046E-2</v>
      </c>
      <c r="S79" s="3"/>
      <c r="T79" s="8">
        <v>11978.04</v>
      </c>
      <c r="U79" s="3"/>
      <c r="V79" s="7">
        <f t="shared" si="17"/>
        <v>3.6408647003509667E-2</v>
      </c>
      <c r="W79" s="3"/>
      <c r="X79" s="8">
        <f t="shared" si="18"/>
        <v>3482.8499999999985</v>
      </c>
      <c r="Y79" s="3"/>
      <c r="Z79" s="7">
        <f t="shared" si="19"/>
        <v>0.29076960838334137</v>
      </c>
    </row>
    <row r="80" spans="1:26" s="69" customFormat="1" ht="15" hidden="1" customHeight="1" outlineLevel="2" x14ac:dyDescent="0.3">
      <c r="A80" s="26"/>
      <c r="B80" s="12" t="str">
        <f>CONCATENATE("          ","6375"," - ","OUTSIDE REPAIRS &amp; MAINTENANCE")</f>
        <v xml:space="preserve">          6375 - OUTSIDE REPAIRS &amp; MAINTENANCE</v>
      </c>
      <c r="C80" s="12"/>
      <c r="D80" s="8">
        <v>6492.76</v>
      </c>
      <c r="E80" s="3"/>
      <c r="F80" s="7">
        <f t="shared" si="12"/>
        <v>2.0938741741823284E-2</v>
      </c>
      <c r="G80" s="3"/>
      <c r="H80" s="8">
        <v>1441.86</v>
      </c>
      <c r="I80" s="3"/>
      <c r="J80" s="7">
        <f t="shared" si="13"/>
        <v>2.8771055343764684E-2</v>
      </c>
      <c r="K80" s="3"/>
      <c r="L80" s="8">
        <f t="shared" si="14"/>
        <v>5050.9000000000005</v>
      </c>
      <c r="M80" s="3"/>
      <c r="N80" s="7">
        <f t="shared" si="15"/>
        <v>3.5030446784015097</v>
      </c>
      <c r="O80" s="12"/>
      <c r="P80" s="8">
        <v>45619.01</v>
      </c>
      <c r="Q80" s="3"/>
      <c r="R80" s="7">
        <f t="shared" si="16"/>
        <v>4.5907742153500221E-2</v>
      </c>
      <c r="S80" s="3"/>
      <c r="T80" s="8">
        <v>14523.86</v>
      </c>
      <c r="U80" s="3"/>
      <c r="V80" s="7">
        <f t="shared" si="17"/>
        <v>4.4146963265141365E-2</v>
      </c>
      <c r="W80" s="3"/>
      <c r="X80" s="8">
        <f t="shared" si="18"/>
        <v>31095.15</v>
      </c>
      <c r="Y80" s="3"/>
      <c r="Z80" s="7">
        <f t="shared" si="19"/>
        <v>2.1409701002350614</v>
      </c>
    </row>
    <row r="81" spans="1:26" s="68" customFormat="1" ht="15" customHeight="1" outlineLevel="1" collapsed="1" x14ac:dyDescent="0.3">
      <c r="A81" s="25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2">
        <f>SUM(OSRRefD22_14x_0)</f>
        <v>1789.12</v>
      </c>
      <c r="E81" s="2"/>
      <c r="F81" s="6">
        <f t="shared" si="12"/>
        <v>5.7697992263892198E-3</v>
      </c>
      <c r="G81" s="2"/>
      <c r="H81" s="2">
        <f>SUM(OSRRefH22_14x_0)</f>
        <v>0</v>
      </c>
      <c r="I81" s="2"/>
      <c r="J81" s="6">
        <f t="shared" si="13"/>
        <v>0</v>
      </c>
      <c r="K81" s="2"/>
      <c r="L81" s="2">
        <f t="shared" si="14"/>
        <v>1789.12</v>
      </c>
      <c r="M81" s="2"/>
      <c r="N81" s="6">
        <f t="shared" si="15"/>
        <v>0</v>
      </c>
      <c r="O81" s="14"/>
      <c r="P81" s="2">
        <f>SUM(OSRRefP22_14x_0)</f>
        <v>3634.03</v>
      </c>
      <c r="Q81" s="2"/>
      <c r="R81" s="6">
        <f t="shared" si="16"/>
        <v>3.657030527801555E-3</v>
      </c>
      <c r="S81" s="2"/>
      <c r="T81" s="2">
        <f>SUM(OSRRefT22_14x_0)</f>
        <v>185.7</v>
      </c>
      <c r="U81" s="2"/>
      <c r="V81" s="6">
        <f t="shared" si="17"/>
        <v>5.6445676826523742E-4</v>
      </c>
      <c r="W81" s="2"/>
      <c r="X81" s="2">
        <f t="shared" si="18"/>
        <v>3448.3300000000004</v>
      </c>
      <c r="Y81" s="2"/>
      <c r="Z81" s="6">
        <f t="shared" si="19"/>
        <v>18.569359181475502</v>
      </c>
    </row>
    <row r="82" spans="1:26" s="69" customFormat="1" ht="15" hidden="1" customHeight="1" outlineLevel="2" x14ac:dyDescent="0.3">
      <c r="A82" s="26"/>
      <c r="B82" s="12" t="str">
        <f>CONCATENATE("          ","6254"," - ","ROYALTY &amp; COMMISSIONS")</f>
        <v xml:space="preserve">          6254 - ROYALTY &amp; COMMISSIONS</v>
      </c>
      <c r="C82" s="12"/>
      <c r="D82" s="8">
        <v>1789.12</v>
      </c>
      <c r="E82" s="3"/>
      <c r="F82" s="7">
        <f t="shared" si="12"/>
        <v>5.7697992263892198E-3</v>
      </c>
      <c r="G82" s="3"/>
      <c r="H82" s="8"/>
      <c r="I82" s="3"/>
      <c r="J82" s="7">
        <f t="shared" si="13"/>
        <v>0</v>
      </c>
      <c r="K82" s="3"/>
      <c r="L82" s="8">
        <f t="shared" si="14"/>
        <v>1789.12</v>
      </c>
      <c r="M82" s="3"/>
      <c r="N82" s="7">
        <f t="shared" si="15"/>
        <v>0</v>
      </c>
      <c r="O82" s="12"/>
      <c r="P82" s="8">
        <v>3634.03</v>
      </c>
      <c r="Q82" s="3"/>
      <c r="R82" s="7">
        <f t="shared" si="16"/>
        <v>3.657030527801555E-3</v>
      </c>
      <c r="S82" s="3"/>
      <c r="T82" s="8">
        <v>185.7</v>
      </c>
      <c r="U82" s="3"/>
      <c r="V82" s="7">
        <f t="shared" si="17"/>
        <v>5.6445676826523742E-4</v>
      </c>
      <c r="W82" s="3"/>
      <c r="X82" s="8">
        <f t="shared" si="18"/>
        <v>3448.3300000000004</v>
      </c>
      <c r="Y82" s="3"/>
      <c r="Z82" s="7">
        <f t="shared" si="19"/>
        <v>18.569359181475502</v>
      </c>
    </row>
    <row r="83" spans="1:26" s="68" customFormat="1" ht="15" customHeight="1" outlineLevel="1" collapsed="1" x14ac:dyDescent="0.3">
      <c r="A83" s="25"/>
      <c r="B83" s="14" t="str">
        <f>CONCATENATE("     ","Services                                          ")</f>
        <v xml:space="preserve">     Services                                          </v>
      </c>
      <c r="C83" s="14"/>
      <c r="D83" s="2">
        <f>SUM(OSRRefD22_15x_0)</f>
        <v>9605.49</v>
      </c>
      <c r="E83" s="2"/>
      <c r="F83" s="6">
        <f t="shared" si="12"/>
        <v>3.0977099787096108E-2</v>
      </c>
      <c r="G83" s="2"/>
      <c r="H83" s="2">
        <f>SUM(OSRRefH22_15x_0)</f>
        <v>6538.14</v>
      </c>
      <c r="I83" s="2"/>
      <c r="J83" s="6">
        <f t="shared" si="13"/>
        <v>0.13046286587136174</v>
      </c>
      <c r="K83" s="2"/>
      <c r="L83" s="2">
        <f t="shared" si="14"/>
        <v>3067.3499999999995</v>
      </c>
      <c r="M83" s="2"/>
      <c r="N83" s="6">
        <f t="shared" si="15"/>
        <v>0.46914718864998289</v>
      </c>
      <c r="O83" s="14"/>
      <c r="P83" s="2">
        <f>SUM(OSRRefP22_15x_0)</f>
        <v>65806.720000000001</v>
      </c>
      <c r="Q83" s="2"/>
      <c r="R83" s="6">
        <f t="shared" si="16"/>
        <v>6.6223224347209328E-2</v>
      </c>
      <c r="S83" s="2"/>
      <c r="T83" s="2">
        <f>SUM(OSRRefT22_15x_0)</f>
        <v>51951.040000000001</v>
      </c>
      <c r="U83" s="2"/>
      <c r="V83" s="6">
        <f t="shared" si="17"/>
        <v>0.15791123396024814</v>
      </c>
      <c r="W83" s="2"/>
      <c r="X83" s="2">
        <f t="shared" si="18"/>
        <v>13855.68</v>
      </c>
      <c r="Y83" s="2"/>
      <c r="Z83" s="6">
        <f t="shared" si="19"/>
        <v>0.26670649904217508</v>
      </c>
    </row>
    <row r="84" spans="1:26" s="69" customFormat="1" ht="15" hidden="1" customHeight="1" outlineLevel="2" x14ac:dyDescent="0.3">
      <c r="A84" s="26"/>
      <c r="B84" s="12" t="str">
        <f>CONCATENATE("          ","6282"," - ","JANITORIAL/EXTERMINATOR EXPENS")</f>
        <v xml:space="preserve">          6282 - JANITORIAL/EXTERMINATOR EXPENS</v>
      </c>
      <c r="C84" s="12"/>
      <c r="D84" s="8">
        <v>1531.9</v>
      </c>
      <c r="E84" s="3"/>
      <c r="F84" s="7">
        <f t="shared" si="12"/>
        <v>4.9402809397388926E-3</v>
      </c>
      <c r="G84" s="3"/>
      <c r="H84" s="8">
        <v>768.19</v>
      </c>
      <c r="I84" s="3"/>
      <c r="J84" s="7">
        <f t="shared" si="13"/>
        <v>1.532855964138446E-2</v>
      </c>
      <c r="K84" s="3"/>
      <c r="L84" s="8">
        <f t="shared" si="14"/>
        <v>763.71</v>
      </c>
      <c r="M84" s="3"/>
      <c r="N84" s="7">
        <f t="shared" si="15"/>
        <v>0.99416810945208867</v>
      </c>
      <c r="O84" s="12"/>
      <c r="P84" s="8">
        <v>10857.11</v>
      </c>
      <c r="Q84" s="3"/>
      <c r="R84" s="7">
        <f t="shared" si="16"/>
        <v>1.0925826895677674E-2</v>
      </c>
      <c r="S84" s="3"/>
      <c r="T84" s="8">
        <v>8318.1200000000008</v>
      </c>
      <c r="U84" s="3"/>
      <c r="V84" s="7">
        <f t="shared" si="17"/>
        <v>2.528389409392804E-2</v>
      </c>
      <c r="W84" s="3"/>
      <c r="X84" s="8">
        <f t="shared" si="18"/>
        <v>2538.9899999999998</v>
      </c>
      <c r="Y84" s="3"/>
      <c r="Z84" s="7">
        <f t="shared" si="19"/>
        <v>0.30523603891263884</v>
      </c>
    </row>
    <row r="85" spans="1:26" s="69" customFormat="1" ht="15" hidden="1" customHeight="1" outlineLevel="2" x14ac:dyDescent="0.3">
      <c r="A85" s="26"/>
      <c r="B85" s="12" t="str">
        <f>CONCATENATE("          ","6284"," - ","TRASH REMOVAL EXPENSE")</f>
        <v xml:space="preserve">          6284 - TRASH REMOVAL EXPENSE</v>
      </c>
      <c r="C85" s="12"/>
      <c r="D85" s="8"/>
      <c r="E85" s="3"/>
      <c r="F85" s="7">
        <f t="shared" si="12"/>
        <v>0</v>
      </c>
      <c r="G85" s="3"/>
      <c r="H85" s="8">
        <v>5658</v>
      </c>
      <c r="I85" s="3"/>
      <c r="J85" s="7">
        <f t="shared" si="13"/>
        <v>0.11290044188410844</v>
      </c>
      <c r="K85" s="3"/>
      <c r="L85" s="8">
        <f t="shared" si="14"/>
        <v>-5658</v>
      </c>
      <c r="M85" s="3"/>
      <c r="N85" s="7">
        <f t="shared" si="15"/>
        <v>-1</v>
      </c>
      <c r="O85" s="12"/>
      <c r="P85" s="8"/>
      <c r="Q85" s="3"/>
      <c r="R85" s="7">
        <f t="shared" si="16"/>
        <v>0</v>
      </c>
      <c r="S85" s="3"/>
      <c r="T85" s="8">
        <v>30762</v>
      </c>
      <c r="U85" s="3"/>
      <c r="V85" s="7">
        <f t="shared" si="17"/>
        <v>9.3504680158186498E-2</v>
      </c>
      <c r="W85" s="3"/>
      <c r="X85" s="8">
        <f t="shared" si="18"/>
        <v>-30762</v>
      </c>
      <c r="Y85" s="3"/>
      <c r="Z85" s="7">
        <f t="shared" si="19"/>
        <v>-1</v>
      </c>
    </row>
    <row r="86" spans="1:26" s="69" customFormat="1" ht="15" hidden="1" customHeight="1" outlineLevel="2" x14ac:dyDescent="0.3">
      <c r="A86" s="26"/>
      <c r="B86" s="12" t="str">
        <f>CONCATENATE("          ","6285"," - ","JANITORIAL SERVICES")</f>
        <v xml:space="preserve">          6285 - JANITORIAL SERVICES</v>
      </c>
      <c r="C86" s="12"/>
      <c r="D86" s="8">
        <v>7640.91</v>
      </c>
      <c r="E86" s="3"/>
      <c r="F86" s="7">
        <f t="shared" si="12"/>
        <v>2.4641453120478031E-2</v>
      </c>
      <c r="G86" s="3"/>
      <c r="H86" s="8">
        <v>0</v>
      </c>
      <c r="I86" s="3"/>
      <c r="J86" s="7">
        <f t="shared" si="13"/>
        <v>0</v>
      </c>
      <c r="K86" s="3"/>
      <c r="L86" s="8">
        <f t="shared" si="14"/>
        <v>7640.91</v>
      </c>
      <c r="M86" s="3"/>
      <c r="N86" s="7">
        <f t="shared" si="15"/>
        <v>0</v>
      </c>
      <c r="O86" s="12"/>
      <c r="P86" s="8">
        <v>51429.87</v>
      </c>
      <c r="Q86" s="3"/>
      <c r="R86" s="7">
        <f t="shared" si="16"/>
        <v>5.1755380288788302E-2</v>
      </c>
      <c r="S86" s="3"/>
      <c r="T86" s="8">
        <v>11966.21</v>
      </c>
      <c r="U86" s="3"/>
      <c r="V86" s="7">
        <f t="shared" si="17"/>
        <v>3.6372688341320229E-2</v>
      </c>
      <c r="W86" s="3"/>
      <c r="X86" s="8">
        <f t="shared" si="18"/>
        <v>39463.660000000003</v>
      </c>
      <c r="Y86" s="3"/>
      <c r="Z86" s="7">
        <f t="shared" si="19"/>
        <v>3.2979247397463363</v>
      </c>
    </row>
    <row r="87" spans="1:26" s="69" customFormat="1" ht="15" hidden="1" customHeight="1" outlineLevel="2" x14ac:dyDescent="0.3">
      <c r="A87" s="26"/>
      <c r="B87" s="12" t="str">
        <f>CONCATENATE("          ","6286"," - ","LAUNDRY EXPENSE")</f>
        <v xml:space="preserve">          6286 - LAUNDRY EXPENSE</v>
      </c>
      <c r="C87" s="12"/>
      <c r="D87" s="8">
        <v>432.68</v>
      </c>
      <c r="E87" s="3"/>
      <c r="F87" s="7">
        <f t="shared" si="12"/>
        <v>1.3953657268791853E-3</v>
      </c>
      <c r="G87" s="3"/>
      <c r="H87" s="8">
        <v>111.95</v>
      </c>
      <c r="I87" s="3"/>
      <c r="J87" s="7">
        <f t="shared" si="13"/>
        <v>2.2338643458688478E-3</v>
      </c>
      <c r="K87" s="3"/>
      <c r="L87" s="8">
        <f t="shared" si="14"/>
        <v>320.73</v>
      </c>
      <c r="M87" s="3"/>
      <c r="N87" s="7">
        <f t="shared" si="15"/>
        <v>2.8649397052255474</v>
      </c>
      <c r="O87" s="12"/>
      <c r="P87" s="8">
        <v>3519.74</v>
      </c>
      <c r="Q87" s="3"/>
      <c r="R87" s="7">
        <f t="shared" si="16"/>
        <v>3.5420171627433576E-3</v>
      </c>
      <c r="S87" s="3"/>
      <c r="T87" s="8">
        <v>904.71</v>
      </c>
      <c r="U87" s="3"/>
      <c r="V87" s="7">
        <f t="shared" si="17"/>
        <v>2.7499713668133708E-3</v>
      </c>
      <c r="W87" s="3"/>
      <c r="X87" s="8">
        <f t="shared" si="18"/>
        <v>2615.0299999999997</v>
      </c>
      <c r="Y87" s="3"/>
      <c r="Z87" s="7">
        <f t="shared" si="19"/>
        <v>2.8904621370383876</v>
      </c>
    </row>
    <row r="88" spans="1:26" s="68" customFormat="1" ht="15" customHeight="1" outlineLevel="1" collapsed="1" x14ac:dyDescent="0.3">
      <c r="A88" s="25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2">
        <f>SUM(OSRRefD22_16x_0)</f>
        <v>622.25</v>
      </c>
      <c r="E88" s="2"/>
      <c r="F88" s="6">
        <f t="shared" si="12"/>
        <v>2.0067170277123349E-3</v>
      </c>
      <c r="G88" s="2"/>
      <c r="H88" s="2">
        <f>SUM(OSRRefH22_16x_0)</f>
        <v>262.83999999999997</v>
      </c>
      <c r="I88" s="2"/>
      <c r="J88" s="6">
        <f t="shared" si="13"/>
        <v>5.2447423373663945E-3</v>
      </c>
      <c r="K88" s="2"/>
      <c r="L88" s="2">
        <f t="shared" si="14"/>
        <v>359.41</v>
      </c>
      <c r="M88" s="2"/>
      <c r="N88" s="6">
        <f t="shared" si="15"/>
        <v>1.3674098310759399</v>
      </c>
      <c r="O88" s="14"/>
      <c r="P88" s="2">
        <f>SUM(OSRRefP22_16x_0)</f>
        <v>5155.3599999999997</v>
      </c>
      <c r="Q88" s="2"/>
      <c r="R88" s="6">
        <f t="shared" si="16"/>
        <v>5.1879893401559759E-3</v>
      </c>
      <c r="S88" s="2"/>
      <c r="T88" s="2">
        <f>SUM(OSRRefT22_16x_0)</f>
        <v>797.01</v>
      </c>
      <c r="U88" s="2"/>
      <c r="V88" s="6">
        <f t="shared" si="17"/>
        <v>2.422604678918023E-3</v>
      </c>
      <c r="W88" s="2"/>
      <c r="X88" s="2">
        <f t="shared" si="18"/>
        <v>4358.3499999999995</v>
      </c>
      <c r="Y88" s="2"/>
      <c r="Z88" s="6">
        <f t="shared" si="19"/>
        <v>5.4683755536316978</v>
      </c>
    </row>
    <row r="89" spans="1:26" s="69" customFormat="1" ht="15" hidden="1" customHeight="1" outlineLevel="2" x14ac:dyDescent="0.3">
      <c r="A89" s="26"/>
      <c r="B89" s="12" t="str">
        <f>CONCATENATE("          ","6275"," - ","SUBSCRIPTIONS")</f>
        <v xml:space="preserve">          6275 - SUBSCRIPTIONS</v>
      </c>
      <c r="C89" s="12"/>
      <c r="D89" s="8">
        <v>622.25</v>
      </c>
      <c r="E89" s="3"/>
      <c r="F89" s="7">
        <f t="shared" si="12"/>
        <v>2.0067170277123349E-3</v>
      </c>
      <c r="G89" s="3"/>
      <c r="H89" s="8">
        <v>262.83999999999997</v>
      </c>
      <c r="I89" s="3"/>
      <c r="J89" s="7">
        <f t="shared" si="13"/>
        <v>5.2447423373663945E-3</v>
      </c>
      <c r="K89" s="3"/>
      <c r="L89" s="8">
        <f t="shared" si="14"/>
        <v>359.41</v>
      </c>
      <c r="M89" s="3"/>
      <c r="N89" s="7">
        <f t="shared" si="15"/>
        <v>1.3674098310759399</v>
      </c>
      <c r="O89" s="12"/>
      <c r="P89" s="8">
        <v>5155.3599999999997</v>
      </c>
      <c r="Q89" s="3"/>
      <c r="R89" s="7">
        <f t="shared" si="16"/>
        <v>5.1879893401559759E-3</v>
      </c>
      <c r="S89" s="3"/>
      <c r="T89" s="8">
        <v>797.01</v>
      </c>
      <c r="U89" s="3"/>
      <c r="V89" s="7">
        <f t="shared" si="17"/>
        <v>2.422604678918023E-3</v>
      </c>
      <c r="W89" s="3"/>
      <c r="X89" s="8">
        <f t="shared" si="18"/>
        <v>4358.3499999999995</v>
      </c>
      <c r="Y89" s="3"/>
      <c r="Z89" s="7">
        <f t="shared" si="19"/>
        <v>5.4683755536316978</v>
      </c>
    </row>
    <row r="90" spans="1:26" s="68" customFormat="1" ht="15" customHeight="1" outlineLevel="1" collapsed="1" x14ac:dyDescent="0.3">
      <c r="A90" s="25"/>
      <c r="B90" s="14" t="str">
        <f>CONCATENATE("     ","Supplies                                          ")</f>
        <v xml:space="preserve">     Supplies                                          </v>
      </c>
      <c r="C90" s="14"/>
      <c r="D90" s="2">
        <f>SUM(OSRRefD22_17x_0)</f>
        <v>5543.48</v>
      </c>
      <c r="E90" s="2"/>
      <c r="F90" s="6">
        <f t="shared" si="12"/>
        <v>1.7877373577794734E-2</v>
      </c>
      <c r="G90" s="2"/>
      <c r="H90" s="2">
        <f>SUM(OSRRefH22_17x_0)</f>
        <v>82.73</v>
      </c>
      <c r="I90" s="2"/>
      <c r="J90" s="6">
        <f t="shared" si="13"/>
        <v>1.6508047997653397E-3</v>
      </c>
      <c r="K90" s="2"/>
      <c r="L90" s="2">
        <f t="shared" si="14"/>
        <v>5460.75</v>
      </c>
      <c r="M90" s="2"/>
      <c r="N90" s="6">
        <f t="shared" si="15"/>
        <v>66.006889882751111</v>
      </c>
      <c r="O90" s="14"/>
      <c r="P90" s="2">
        <f>SUM(OSRRefP22_17x_0)</f>
        <v>29117.38</v>
      </c>
      <c r="Q90" s="2"/>
      <c r="R90" s="6">
        <f t="shared" si="16"/>
        <v>2.9301669922812537E-2</v>
      </c>
      <c r="S90" s="2"/>
      <c r="T90" s="2">
        <f>SUM(OSRRefT22_17x_0)</f>
        <v>-20252.77</v>
      </c>
      <c r="U90" s="2"/>
      <c r="V90" s="6">
        <f t="shared" si="17"/>
        <v>-6.1560652141190914E-2</v>
      </c>
      <c r="W90" s="2"/>
      <c r="X90" s="2">
        <f t="shared" si="18"/>
        <v>49370.15</v>
      </c>
      <c r="Y90" s="2"/>
      <c r="Z90" s="6">
        <f t="shared" si="19"/>
        <v>-2.4376986456667411</v>
      </c>
    </row>
    <row r="91" spans="1:26" s="69" customFormat="1" ht="15" hidden="1" customHeight="1" outlineLevel="2" x14ac:dyDescent="0.3">
      <c r="A91" s="26"/>
      <c r="B91" s="12" t="str">
        <f>CONCATENATE("          ","6234"," - ","EXPENDABLE SUPPLIES &amp; EQUIPMEN")</f>
        <v xml:space="preserve">          6234 - EXPENDABLE SUPPLIES &amp; EQUIPMEN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1252.6600000000001</v>
      </c>
      <c r="Q91" s="3"/>
      <c r="R91" s="7">
        <f t="shared" si="16"/>
        <v>1.2605883443328469E-3</v>
      </c>
      <c r="S91" s="3"/>
      <c r="T91" s="8">
        <v>627.58000000000004</v>
      </c>
      <c r="U91" s="3"/>
      <c r="V91" s="7">
        <f t="shared" si="17"/>
        <v>1.9076024697248126E-3</v>
      </c>
      <c r="W91" s="3"/>
      <c r="X91" s="8">
        <f t="shared" si="18"/>
        <v>625.08000000000004</v>
      </c>
      <c r="Y91" s="3"/>
      <c r="Z91" s="7">
        <f t="shared" si="19"/>
        <v>0.99601644411867807</v>
      </c>
    </row>
    <row r="92" spans="1:26" s="69" customFormat="1" ht="15" hidden="1" customHeight="1" outlineLevel="2" x14ac:dyDescent="0.3">
      <c r="A92" s="26"/>
      <c r="B92" s="12" t="str">
        <f>CONCATENATE("          ","6235"," - ","COVID-19 EXPENSES")</f>
        <v xml:space="preserve">          6235 - COVID-19 EXPENSES</v>
      </c>
      <c r="C92" s="12"/>
      <c r="D92" s="8"/>
      <c r="E92" s="3"/>
      <c r="F92" s="7">
        <f t="shared" si="12"/>
        <v>0</v>
      </c>
      <c r="G92" s="3"/>
      <c r="H92" s="8"/>
      <c r="I92" s="3"/>
      <c r="J92" s="7">
        <f t="shared" si="13"/>
        <v>0</v>
      </c>
      <c r="K92" s="3"/>
      <c r="L92" s="8">
        <f t="shared" si="14"/>
        <v>0</v>
      </c>
      <c r="M92" s="3"/>
      <c r="N92" s="7">
        <f t="shared" si="15"/>
        <v>0</v>
      </c>
      <c r="O92" s="12"/>
      <c r="P92" s="8">
        <v>511.92</v>
      </c>
      <c r="Q92" s="3"/>
      <c r="R92" s="7">
        <f t="shared" si="16"/>
        <v>5.1516004760339678E-4</v>
      </c>
      <c r="S92" s="3"/>
      <c r="T92" s="8">
        <v>7089.13</v>
      </c>
      <c r="U92" s="3"/>
      <c r="V92" s="7">
        <f t="shared" si="17"/>
        <v>2.1548235916058926E-2</v>
      </c>
      <c r="W92" s="3"/>
      <c r="X92" s="8">
        <f t="shared" si="18"/>
        <v>-6577.21</v>
      </c>
      <c r="Y92" s="3"/>
      <c r="Z92" s="7">
        <f t="shared" si="19"/>
        <v>-0.92778803604955751</v>
      </c>
    </row>
    <row r="93" spans="1:26" s="69" customFormat="1" ht="15" hidden="1" customHeight="1" outlineLevel="2" x14ac:dyDescent="0.3">
      <c r="A93" s="26"/>
      <c r="B93" s="12" t="str">
        <f>CONCATENATE("          ","6237"," - ","JANITORIAL SUPPLIES")</f>
        <v xml:space="preserve">          6237 - JANITORIAL SUPPLIES</v>
      </c>
      <c r="C93" s="12"/>
      <c r="D93" s="8">
        <v>644.16999999999996</v>
      </c>
      <c r="E93" s="3"/>
      <c r="F93" s="7">
        <f t="shared" si="12"/>
        <v>2.0774076460288544E-3</v>
      </c>
      <c r="G93" s="3"/>
      <c r="H93" s="8"/>
      <c r="I93" s="3"/>
      <c r="J93" s="7">
        <f t="shared" si="13"/>
        <v>0</v>
      </c>
      <c r="K93" s="3"/>
      <c r="L93" s="8">
        <f t="shared" si="14"/>
        <v>644.16999999999996</v>
      </c>
      <c r="M93" s="3"/>
      <c r="N93" s="7">
        <f t="shared" si="15"/>
        <v>0</v>
      </c>
      <c r="O93" s="12"/>
      <c r="P93" s="8">
        <v>7147.01</v>
      </c>
      <c r="Q93" s="3"/>
      <c r="R93" s="7">
        <f t="shared" si="16"/>
        <v>7.1922449051061745E-3</v>
      </c>
      <c r="S93" s="3"/>
      <c r="T93" s="8">
        <v>676.48</v>
      </c>
      <c r="U93" s="3"/>
      <c r="V93" s="7">
        <f t="shared" si="17"/>
        <v>2.0562397124182434E-3</v>
      </c>
      <c r="W93" s="3"/>
      <c r="X93" s="8">
        <f t="shared" si="18"/>
        <v>6470.5300000000007</v>
      </c>
      <c r="Y93" s="3"/>
      <c r="Z93" s="7">
        <f t="shared" si="19"/>
        <v>9.5649982261116371</v>
      </c>
    </row>
    <row r="94" spans="1:26" s="69" customFormat="1" ht="15" hidden="1" customHeight="1" outlineLevel="2" x14ac:dyDescent="0.3">
      <c r="A94" s="26"/>
      <c r="B94" s="12" t="str">
        <f>CONCATENATE("          ","6239"," - ","KITCHEN SUPPLIES")</f>
        <v xml:space="preserve">          6239 - KITCHEN SUPPLIES</v>
      </c>
      <c r="C94" s="12"/>
      <c r="D94" s="8">
        <v>1167.4100000000001</v>
      </c>
      <c r="E94" s="3"/>
      <c r="F94" s="7">
        <f t="shared" si="12"/>
        <v>3.764823664639063E-3</v>
      </c>
      <c r="G94" s="3"/>
      <c r="H94" s="8"/>
      <c r="I94" s="3"/>
      <c r="J94" s="7">
        <f t="shared" si="13"/>
        <v>0</v>
      </c>
      <c r="K94" s="3"/>
      <c r="L94" s="8">
        <f t="shared" si="14"/>
        <v>1167.4100000000001</v>
      </c>
      <c r="M94" s="3"/>
      <c r="N94" s="7">
        <f t="shared" si="15"/>
        <v>0</v>
      </c>
      <c r="O94" s="12"/>
      <c r="P94" s="8">
        <v>4699.05</v>
      </c>
      <c r="Q94" s="3"/>
      <c r="R94" s="7">
        <f t="shared" si="16"/>
        <v>4.7287912597490656E-3</v>
      </c>
      <c r="S94" s="3"/>
      <c r="T94" s="8">
        <v>19.829999999999998</v>
      </c>
      <c r="U94" s="3"/>
      <c r="V94" s="7">
        <f t="shared" si="17"/>
        <v>6.0275593509421956E-5</v>
      </c>
      <c r="W94" s="3"/>
      <c r="X94" s="8">
        <f t="shared" si="18"/>
        <v>4679.22</v>
      </c>
      <c r="Y94" s="3"/>
      <c r="Z94" s="7">
        <f t="shared" si="19"/>
        <v>235.96671709531017</v>
      </c>
    </row>
    <row r="95" spans="1:26" s="69" customFormat="1" ht="15" hidden="1" customHeight="1" outlineLevel="2" x14ac:dyDescent="0.3">
      <c r="A95" s="26"/>
      <c r="B95" s="12" t="str">
        <f>CONCATENATE("          ","6241"," - ","OFFICE EXPENSE")</f>
        <v xml:space="preserve">          6241 - OFFICE EXPENSE</v>
      </c>
      <c r="C95" s="12"/>
      <c r="D95" s="8">
        <v>540.91</v>
      </c>
      <c r="E95" s="3"/>
      <c r="F95" s="7">
        <f t="shared" si="12"/>
        <v>1.7444006548170011E-3</v>
      </c>
      <c r="G95" s="3"/>
      <c r="H95" s="8">
        <v>82.73</v>
      </c>
      <c r="I95" s="3"/>
      <c r="J95" s="7">
        <f t="shared" si="13"/>
        <v>1.6508047997653397E-3</v>
      </c>
      <c r="K95" s="3"/>
      <c r="L95" s="8">
        <f t="shared" si="14"/>
        <v>458.17999999999995</v>
      </c>
      <c r="M95" s="3"/>
      <c r="N95" s="7">
        <f t="shared" si="15"/>
        <v>5.538256980539102</v>
      </c>
      <c r="O95" s="12"/>
      <c r="P95" s="8">
        <v>7808.76</v>
      </c>
      <c r="Q95" s="3"/>
      <c r="R95" s="7">
        <f t="shared" si="16"/>
        <v>7.8581832577814901E-3</v>
      </c>
      <c r="S95" s="3"/>
      <c r="T95" s="8">
        <v>-28852.560000000001</v>
      </c>
      <c r="U95" s="3"/>
      <c r="V95" s="7">
        <f t="shared" si="17"/>
        <v>-8.7700714990731607E-2</v>
      </c>
      <c r="W95" s="3"/>
      <c r="X95" s="8">
        <f t="shared" si="18"/>
        <v>36661.32</v>
      </c>
      <c r="Y95" s="3"/>
      <c r="Z95" s="7">
        <f t="shared" si="19"/>
        <v>-1.2706435754747585</v>
      </c>
    </row>
    <row r="96" spans="1:26" s="69" customFormat="1" ht="15" hidden="1" customHeight="1" outlineLevel="2" x14ac:dyDescent="0.3">
      <c r="A96" s="26"/>
      <c r="B96" s="12" t="str">
        <f>CONCATENATE("          ","6243"," - ","PAPER SUPPLIES")</f>
        <v xml:space="preserve">          6243 - PAPER SUPPLIES</v>
      </c>
      <c r="C96" s="12"/>
      <c r="D96" s="8">
        <v>569.65</v>
      </c>
      <c r="E96" s="3"/>
      <c r="F96" s="7">
        <f t="shared" si="12"/>
        <v>1.8370853432484234E-3</v>
      </c>
      <c r="G96" s="3"/>
      <c r="H96" s="8"/>
      <c r="I96" s="3"/>
      <c r="J96" s="7">
        <f t="shared" si="13"/>
        <v>0</v>
      </c>
      <c r="K96" s="3"/>
      <c r="L96" s="8">
        <f t="shared" si="14"/>
        <v>569.65</v>
      </c>
      <c r="M96" s="3"/>
      <c r="N96" s="7">
        <f t="shared" si="15"/>
        <v>0</v>
      </c>
      <c r="O96" s="12"/>
      <c r="P96" s="8">
        <v>1866.29</v>
      </c>
      <c r="Q96" s="3"/>
      <c r="R96" s="7">
        <f t="shared" si="16"/>
        <v>1.8781021355714629E-3</v>
      </c>
      <c r="S96" s="3"/>
      <c r="T96" s="8">
        <v>65.489999999999995</v>
      </c>
      <c r="U96" s="3"/>
      <c r="V96" s="7">
        <f t="shared" si="17"/>
        <v>1.9906447901825737E-4</v>
      </c>
      <c r="W96" s="3"/>
      <c r="X96" s="8">
        <f t="shared" si="18"/>
        <v>1800.8</v>
      </c>
      <c r="Y96" s="3"/>
      <c r="Z96" s="7">
        <f t="shared" si="19"/>
        <v>27.497327836310888</v>
      </c>
    </row>
    <row r="97" spans="1:26" s="69" customFormat="1" ht="15" hidden="1" customHeight="1" outlineLevel="2" x14ac:dyDescent="0.3">
      <c r="A97" s="26"/>
      <c r="B97" s="12" t="str">
        <f>CONCATENATE("          ","6245"," - ","PRINTING")</f>
        <v xml:space="preserve">          6245 - PRINTING</v>
      </c>
      <c r="C97" s="12"/>
      <c r="D97" s="8"/>
      <c r="E97" s="3"/>
      <c r="F97" s="7">
        <f t="shared" si="12"/>
        <v>0</v>
      </c>
      <c r="G97" s="3"/>
      <c r="H97" s="8"/>
      <c r="I97" s="3"/>
      <c r="J97" s="7">
        <f t="shared" si="13"/>
        <v>0</v>
      </c>
      <c r="K97" s="3"/>
      <c r="L97" s="8">
        <f t="shared" si="14"/>
        <v>0</v>
      </c>
      <c r="M97" s="3"/>
      <c r="N97" s="7">
        <f t="shared" si="15"/>
        <v>0</v>
      </c>
      <c r="O97" s="12"/>
      <c r="P97" s="8">
        <v>1071</v>
      </c>
      <c r="Q97" s="3"/>
      <c r="R97" s="7">
        <f t="shared" si="16"/>
        <v>1.077778580604856E-3</v>
      </c>
      <c r="S97" s="3"/>
      <c r="T97" s="8"/>
      <c r="U97" s="3"/>
      <c r="V97" s="7">
        <f t="shared" si="17"/>
        <v>0</v>
      </c>
      <c r="W97" s="3"/>
      <c r="X97" s="8">
        <f t="shared" si="18"/>
        <v>1071</v>
      </c>
      <c r="Y97" s="3"/>
      <c r="Z97" s="7">
        <f t="shared" si="19"/>
        <v>0</v>
      </c>
    </row>
    <row r="98" spans="1:26" s="69" customFormat="1" ht="15" hidden="1" customHeight="1" outlineLevel="2" x14ac:dyDescent="0.3">
      <c r="A98" s="26"/>
      <c r="B98" s="12" t="str">
        <f>CONCATENATE("          ","6247"," - ","STORE SUPPLIES")</f>
        <v xml:space="preserve">          6247 - STORE SUPPLIES</v>
      </c>
      <c r="C98" s="12"/>
      <c r="D98" s="8">
        <v>1099.0899999999999</v>
      </c>
      <c r="E98" s="3"/>
      <c r="F98" s="7">
        <f t="shared" ref="F98:F108" si="20">IF(D$12=0,0,D98/D$12)</f>
        <v>3.5444959710539971E-3</v>
      </c>
      <c r="G98" s="3"/>
      <c r="H98" s="8"/>
      <c r="I98" s="3"/>
      <c r="J98" s="7">
        <f t="shared" ref="J98:J108" si="21">IF(H$12=0,0,H98/H$12)</f>
        <v>0</v>
      </c>
      <c r="K98" s="3"/>
      <c r="L98" s="8">
        <f t="shared" ref="L98:L108" si="22">+D98-H98</f>
        <v>1099.0899999999999</v>
      </c>
      <c r="M98" s="3"/>
      <c r="N98" s="7">
        <f t="shared" ref="N98:N108" si="23">IF(H98=0,0,L98/H98)</f>
        <v>0</v>
      </c>
      <c r="O98" s="12"/>
      <c r="P98" s="8">
        <v>2636.19</v>
      </c>
      <c r="Q98" s="3"/>
      <c r="R98" s="7">
        <f t="shared" ref="R98:R108" si="24">IF(P$12=0,0,P98/P$12)</f>
        <v>2.6528749919745242E-3</v>
      </c>
      <c r="S98" s="3"/>
      <c r="T98" s="8">
        <v>121.28</v>
      </c>
      <c r="U98" s="3"/>
      <c r="V98" s="7">
        <f t="shared" ref="V98:V108" si="25">IF(T$12=0,0,T98/T$12)</f>
        <v>3.6864467881102849E-4</v>
      </c>
      <c r="W98" s="3"/>
      <c r="X98" s="8">
        <f t="shared" ref="X98:X108" si="26">+P98-T98</f>
        <v>2514.91</v>
      </c>
      <c r="Y98" s="3"/>
      <c r="Z98" s="7">
        <f t="shared" ref="Z98:Z108" si="27">IF(T98=0,0,X98/T98)</f>
        <v>20.736395118733508</v>
      </c>
    </row>
    <row r="99" spans="1:26" s="69" customFormat="1" ht="15" hidden="1" customHeight="1" outlineLevel="2" x14ac:dyDescent="0.3">
      <c r="A99" s="26"/>
      <c r="B99" s="12" t="str">
        <f>CONCATENATE("          ","6248"," - ","UNIFORMS")</f>
        <v xml:space="preserve">          6248 - UNIFORMS</v>
      </c>
      <c r="C99" s="12"/>
      <c r="D99" s="8">
        <v>1522.25</v>
      </c>
      <c r="E99" s="3"/>
      <c r="F99" s="7">
        <f t="shared" si="20"/>
        <v>4.9091602980073949E-3</v>
      </c>
      <c r="G99" s="3"/>
      <c r="H99" s="8"/>
      <c r="I99" s="3"/>
      <c r="J99" s="7">
        <f t="shared" si="21"/>
        <v>0</v>
      </c>
      <c r="K99" s="3"/>
      <c r="L99" s="8">
        <f t="shared" si="22"/>
        <v>1522.25</v>
      </c>
      <c r="M99" s="3"/>
      <c r="N99" s="7">
        <f t="shared" si="23"/>
        <v>0</v>
      </c>
      <c r="O99" s="12"/>
      <c r="P99" s="8">
        <v>2124.5</v>
      </c>
      <c r="Q99" s="3"/>
      <c r="R99" s="7">
        <f t="shared" si="24"/>
        <v>2.1379464000887177E-3</v>
      </c>
      <c r="S99" s="3"/>
      <c r="T99" s="8"/>
      <c r="U99" s="3"/>
      <c r="V99" s="7">
        <f t="shared" si="25"/>
        <v>0</v>
      </c>
      <c r="W99" s="3"/>
      <c r="X99" s="8">
        <f t="shared" si="26"/>
        <v>2124.5</v>
      </c>
      <c r="Y99" s="3"/>
      <c r="Z99" s="7">
        <f t="shared" si="27"/>
        <v>0</v>
      </c>
    </row>
    <row r="100" spans="1:26" s="68" customFormat="1" ht="15" customHeight="1" outlineLevel="1" collapsed="1" x14ac:dyDescent="0.3">
      <c r="A100" s="25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SUM(OSRRefD22_18x_0)</f>
        <v>841.3</v>
      </c>
      <c r="E100" s="2"/>
      <c r="F100" s="6">
        <f t="shared" si="20"/>
        <v>2.7131394703324824E-3</v>
      </c>
      <c r="G100" s="2"/>
      <c r="H100" s="2">
        <f>SUM(OSRRefH22_18x_0)</f>
        <v>323.79000000000002</v>
      </c>
      <c r="I100" s="2"/>
      <c r="J100" s="6">
        <f t="shared" si="21"/>
        <v>6.4609462844919538E-3</v>
      </c>
      <c r="K100" s="2"/>
      <c r="L100" s="2">
        <f t="shared" si="22"/>
        <v>517.51</v>
      </c>
      <c r="M100" s="2"/>
      <c r="N100" s="6">
        <f t="shared" si="23"/>
        <v>1.5982890144846968</v>
      </c>
      <c r="O100" s="14"/>
      <c r="P100" s="2">
        <f>SUM(OSRRefP22_18x_0)</f>
        <v>6217.89</v>
      </c>
      <c r="Q100" s="2"/>
      <c r="R100" s="6">
        <f t="shared" si="24"/>
        <v>6.257244312378272E-3</v>
      </c>
      <c r="S100" s="2"/>
      <c r="T100" s="2">
        <f>SUM(OSRRefT22_18x_0)</f>
        <v>8208.85</v>
      </c>
      <c r="U100" s="2"/>
      <c r="V100" s="6">
        <f t="shared" si="25"/>
        <v>2.4951755208261144E-2</v>
      </c>
      <c r="W100" s="2"/>
      <c r="X100" s="2">
        <f t="shared" si="26"/>
        <v>-1990.96</v>
      </c>
      <c r="Y100" s="2"/>
      <c r="Z100" s="6">
        <f t="shared" si="27"/>
        <v>-0.24253823617193637</v>
      </c>
    </row>
    <row r="101" spans="1:26" s="69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8">
        <v>841.3</v>
      </c>
      <c r="E101" s="3"/>
      <c r="F101" s="7">
        <f t="shared" si="20"/>
        <v>2.7131394703324824E-3</v>
      </c>
      <c r="G101" s="3"/>
      <c r="H101" s="8">
        <v>323.79000000000002</v>
      </c>
      <c r="I101" s="3"/>
      <c r="J101" s="7">
        <f t="shared" si="21"/>
        <v>6.4609462844919538E-3</v>
      </c>
      <c r="K101" s="3"/>
      <c r="L101" s="8">
        <f t="shared" si="22"/>
        <v>517.51</v>
      </c>
      <c r="M101" s="3"/>
      <c r="N101" s="7">
        <f t="shared" si="23"/>
        <v>1.5982890144846968</v>
      </c>
      <c r="O101" s="12"/>
      <c r="P101" s="8">
        <v>6217.89</v>
      </c>
      <c r="Q101" s="3"/>
      <c r="R101" s="7">
        <f t="shared" si="24"/>
        <v>6.257244312378272E-3</v>
      </c>
      <c r="S101" s="3"/>
      <c r="T101" s="8">
        <v>8208.85</v>
      </c>
      <c r="U101" s="3"/>
      <c r="V101" s="7">
        <f t="shared" si="25"/>
        <v>2.4951755208261144E-2</v>
      </c>
      <c r="W101" s="3"/>
      <c r="X101" s="8">
        <f t="shared" si="26"/>
        <v>-1990.96</v>
      </c>
      <c r="Y101" s="3"/>
      <c r="Z101" s="7">
        <f t="shared" si="27"/>
        <v>-0.24253823617193637</v>
      </c>
    </row>
    <row r="102" spans="1:26" s="68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SUM(OSRRefD22_19x_0)</f>
        <v>800</v>
      </c>
      <c r="E102" s="2"/>
      <c r="F102" s="6">
        <f t="shared" si="20"/>
        <v>2.5799495735956092E-3</v>
      </c>
      <c r="G102" s="2"/>
      <c r="H102" s="2">
        <f>SUM(OSRRefH22_19x_0)</f>
        <v>0</v>
      </c>
      <c r="I102" s="2"/>
      <c r="J102" s="6">
        <f t="shared" si="21"/>
        <v>0</v>
      </c>
      <c r="K102" s="2"/>
      <c r="L102" s="2">
        <f t="shared" si="22"/>
        <v>800</v>
      </c>
      <c r="M102" s="2"/>
      <c r="N102" s="6">
        <f t="shared" si="23"/>
        <v>0</v>
      </c>
      <c r="O102" s="14"/>
      <c r="P102" s="2">
        <f>SUM(OSRRefP22_19x_0)</f>
        <v>800</v>
      </c>
      <c r="Q102" s="2"/>
      <c r="R102" s="6">
        <f t="shared" si="24"/>
        <v>8.050633655311717E-4</v>
      </c>
      <c r="S102" s="2"/>
      <c r="T102" s="2">
        <f>SUM(OSRRefT22_19x_0)</f>
        <v>400</v>
      </c>
      <c r="U102" s="2"/>
      <c r="V102" s="6">
        <f t="shared" si="25"/>
        <v>1.2158465659994344E-3</v>
      </c>
      <c r="W102" s="2"/>
      <c r="X102" s="2">
        <f t="shared" si="26"/>
        <v>400</v>
      </c>
      <c r="Y102" s="2"/>
      <c r="Z102" s="6">
        <f t="shared" si="27"/>
        <v>1</v>
      </c>
    </row>
    <row r="103" spans="1:26" s="69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8">
        <v>800</v>
      </c>
      <c r="E103" s="3"/>
      <c r="F103" s="7">
        <f t="shared" si="20"/>
        <v>2.5799495735956092E-3</v>
      </c>
      <c r="G103" s="3"/>
      <c r="H103" s="8"/>
      <c r="I103" s="3"/>
      <c r="J103" s="7">
        <f t="shared" si="21"/>
        <v>0</v>
      </c>
      <c r="K103" s="3"/>
      <c r="L103" s="8">
        <f t="shared" si="22"/>
        <v>800</v>
      </c>
      <c r="M103" s="3"/>
      <c r="N103" s="7">
        <f t="shared" si="23"/>
        <v>0</v>
      </c>
      <c r="O103" s="12"/>
      <c r="P103" s="8">
        <v>800</v>
      </c>
      <c r="Q103" s="3"/>
      <c r="R103" s="7">
        <f t="shared" si="24"/>
        <v>8.050633655311717E-4</v>
      </c>
      <c r="S103" s="3"/>
      <c r="T103" s="8">
        <v>400</v>
      </c>
      <c r="U103" s="3"/>
      <c r="V103" s="7">
        <f t="shared" si="25"/>
        <v>1.2158465659994344E-3</v>
      </c>
      <c r="W103" s="3"/>
      <c r="X103" s="8">
        <f t="shared" si="26"/>
        <v>400</v>
      </c>
      <c r="Y103" s="3"/>
      <c r="Z103" s="7">
        <f t="shared" si="27"/>
        <v>1</v>
      </c>
    </row>
    <row r="104" spans="1:26" s="68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SUM(OSRRefD22_20x_0)</f>
        <v>122.65</v>
      </c>
      <c r="E104" s="2"/>
      <c r="F104" s="6">
        <f t="shared" si="20"/>
        <v>3.9553851900187687E-4</v>
      </c>
      <c r="G104" s="2"/>
      <c r="H104" s="2">
        <f>SUM(OSRRefH22_20x_0)</f>
        <v>0</v>
      </c>
      <c r="I104" s="2"/>
      <c r="J104" s="6">
        <f t="shared" si="21"/>
        <v>0</v>
      </c>
      <c r="K104" s="2"/>
      <c r="L104" s="2">
        <f t="shared" si="22"/>
        <v>122.65</v>
      </c>
      <c r="M104" s="2"/>
      <c r="N104" s="6">
        <f t="shared" si="23"/>
        <v>0</v>
      </c>
      <c r="O104" s="14"/>
      <c r="P104" s="2">
        <f>SUM(OSRRefP22_20x_0)</f>
        <v>141.24</v>
      </c>
      <c r="Q104" s="2"/>
      <c r="R104" s="6">
        <f t="shared" si="24"/>
        <v>1.4213393718452838E-4</v>
      </c>
      <c r="S104" s="2"/>
      <c r="T104" s="2">
        <f>SUM(OSRRefT22_20x_0)</f>
        <v>332.21</v>
      </c>
      <c r="U104" s="2"/>
      <c r="V104" s="6">
        <f t="shared" si="25"/>
        <v>1.0097909692266802E-3</v>
      </c>
      <c r="W104" s="2"/>
      <c r="X104" s="2">
        <f t="shared" si="26"/>
        <v>-190.96999999999997</v>
      </c>
      <c r="Y104" s="2"/>
      <c r="Z104" s="6">
        <f t="shared" si="27"/>
        <v>-0.5748472351825652</v>
      </c>
    </row>
    <row r="105" spans="1:26" s="69" customFormat="1" ht="15" hidden="1" customHeight="1" outlineLevel="2" x14ac:dyDescent="0.3">
      <c r="A105" s="26"/>
      <c r="B105" s="12" t="str">
        <f>CONCATENATE("          ","6292"," - ","TRAVEL/CONFERENCE")</f>
        <v xml:space="preserve">          6292 - TRAVEL/CONFERENCE</v>
      </c>
      <c r="C105" s="12"/>
      <c r="D105" s="8"/>
      <c r="E105" s="3"/>
      <c r="F105" s="7">
        <f t="shared" si="20"/>
        <v>0</v>
      </c>
      <c r="G105" s="3"/>
      <c r="H105" s="8"/>
      <c r="I105" s="3"/>
      <c r="J105" s="7">
        <f t="shared" si="21"/>
        <v>0</v>
      </c>
      <c r="K105" s="3"/>
      <c r="L105" s="8">
        <f t="shared" si="22"/>
        <v>0</v>
      </c>
      <c r="M105" s="3"/>
      <c r="N105" s="7">
        <f t="shared" si="23"/>
        <v>0</v>
      </c>
      <c r="O105" s="12"/>
      <c r="P105" s="8">
        <v>18.59</v>
      </c>
      <c r="Q105" s="3"/>
      <c r="R105" s="7">
        <f t="shared" si="24"/>
        <v>1.8707659956530602E-5</v>
      </c>
      <c r="S105" s="3"/>
      <c r="T105" s="8"/>
      <c r="U105" s="3"/>
      <c r="V105" s="7">
        <f t="shared" si="25"/>
        <v>0</v>
      </c>
      <c r="W105" s="3"/>
      <c r="X105" s="8">
        <f t="shared" si="26"/>
        <v>18.59</v>
      </c>
      <c r="Y105" s="3"/>
      <c r="Z105" s="7">
        <f t="shared" si="27"/>
        <v>0</v>
      </c>
    </row>
    <row r="106" spans="1:26" s="69" customFormat="1" ht="15" hidden="1" customHeight="1" outlineLevel="2" x14ac:dyDescent="0.3">
      <c r="A106" s="26"/>
      <c r="B106" s="12" t="str">
        <f>CONCATENATE("          ","6298"," - ","VEHICLE MILEAGE")</f>
        <v xml:space="preserve">          6298 - VEHICLE MILEAGE</v>
      </c>
      <c r="C106" s="12"/>
      <c r="D106" s="8">
        <v>122.65</v>
      </c>
      <c r="E106" s="3"/>
      <c r="F106" s="7">
        <f t="shared" si="20"/>
        <v>3.9553851900187687E-4</v>
      </c>
      <c r="G106" s="3"/>
      <c r="H106" s="8"/>
      <c r="I106" s="3"/>
      <c r="J106" s="7">
        <f t="shared" si="21"/>
        <v>0</v>
      </c>
      <c r="K106" s="3"/>
      <c r="L106" s="8">
        <f t="shared" si="22"/>
        <v>122.65</v>
      </c>
      <c r="M106" s="3"/>
      <c r="N106" s="7">
        <f t="shared" si="23"/>
        <v>0</v>
      </c>
      <c r="O106" s="12"/>
      <c r="P106" s="8">
        <v>122.65</v>
      </c>
      <c r="Q106" s="3"/>
      <c r="R106" s="7">
        <f t="shared" si="24"/>
        <v>1.2342627722799777E-4</v>
      </c>
      <c r="S106" s="3"/>
      <c r="T106" s="8">
        <v>332.21</v>
      </c>
      <c r="U106" s="3"/>
      <c r="V106" s="7">
        <f t="shared" si="25"/>
        <v>1.0097909692266802E-3</v>
      </c>
      <c r="W106" s="3"/>
      <c r="X106" s="8">
        <f t="shared" si="26"/>
        <v>-209.55999999999997</v>
      </c>
      <c r="Y106" s="3"/>
      <c r="Z106" s="7">
        <f t="shared" si="27"/>
        <v>-0.63080581559856708</v>
      </c>
    </row>
    <row r="107" spans="1:26" s="68" customFormat="1" ht="15" customHeight="1" outlineLevel="1" collapsed="1" x14ac:dyDescent="0.3">
      <c r="A107" s="25"/>
      <c r="B107" s="14" t="str">
        <f>CONCATENATE("     ","Utilities                                         ")</f>
        <v xml:space="preserve">     Utilities                                         </v>
      </c>
      <c r="C107" s="14"/>
      <c r="D107" s="2">
        <f>SUM(OSRRefD22_21x_0)</f>
        <v>8250</v>
      </c>
      <c r="E107" s="2"/>
      <c r="F107" s="6">
        <f t="shared" si="20"/>
        <v>2.6605729977704721E-2</v>
      </c>
      <c r="G107" s="2"/>
      <c r="H107" s="2">
        <f>SUM(OSRRefH22_21x_0)</f>
        <v>4796</v>
      </c>
      <c r="I107" s="2"/>
      <c r="J107" s="6">
        <f t="shared" si="21"/>
        <v>9.5699985732800294E-2</v>
      </c>
      <c r="K107" s="2"/>
      <c r="L107" s="2">
        <f t="shared" si="22"/>
        <v>3454</v>
      </c>
      <c r="M107" s="2"/>
      <c r="N107" s="6">
        <f t="shared" si="23"/>
        <v>0.72018348623853212</v>
      </c>
      <c r="O107" s="14"/>
      <c r="P107" s="2">
        <f>SUM(OSRRefP22_21x_0)</f>
        <v>63600</v>
      </c>
      <c r="Q107" s="2"/>
      <c r="R107" s="6">
        <f t="shared" si="24"/>
        <v>6.4002537559728151E-2</v>
      </c>
      <c r="S107" s="2"/>
      <c r="T107" s="2">
        <f>SUM(OSRRefT22_21x_0)</f>
        <v>14142</v>
      </c>
      <c r="U107" s="2"/>
      <c r="V107" s="6">
        <f t="shared" si="25"/>
        <v>4.2986255340910003E-2</v>
      </c>
      <c r="W107" s="2"/>
      <c r="X107" s="2">
        <f t="shared" si="26"/>
        <v>49458</v>
      </c>
      <c r="Y107" s="2"/>
      <c r="Z107" s="6">
        <f t="shared" si="27"/>
        <v>3.4972422571064912</v>
      </c>
    </row>
    <row r="108" spans="1:26" s="69" customFormat="1" ht="15" hidden="1" customHeight="1" outlineLevel="2" x14ac:dyDescent="0.3">
      <c r="A108" s="26"/>
      <c r="B108" s="12" t="str">
        <f>CONCATENATE("          ","6274"," - ","UTILITIES")</f>
        <v xml:space="preserve">          6274 - UTILITIES</v>
      </c>
      <c r="C108" s="12"/>
      <c r="D108" s="8">
        <v>8250</v>
      </c>
      <c r="E108" s="3"/>
      <c r="F108" s="7">
        <f t="shared" si="20"/>
        <v>2.6605729977704721E-2</v>
      </c>
      <c r="G108" s="3"/>
      <c r="H108" s="8">
        <v>4796</v>
      </c>
      <c r="I108" s="3"/>
      <c r="J108" s="7">
        <f t="shared" si="21"/>
        <v>9.5699985732800294E-2</v>
      </c>
      <c r="K108" s="3"/>
      <c r="L108" s="8">
        <f t="shared" si="22"/>
        <v>3454</v>
      </c>
      <c r="M108" s="3"/>
      <c r="N108" s="7">
        <f t="shared" si="23"/>
        <v>0.72018348623853212</v>
      </c>
      <c r="O108" s="12"/>
      <c r="P108" s="8">
        <v>63600</v>
      </c>
      <c r="Q108" s="3"/>
      <c r="R108" s="7">
        <f t="shared" si="24"/>
        <v>6.4002537559728151E-2</v>
      </c>
      <c r="S108" s="3"/>
      <c r="T108" s="8">
        <v>14142</v>
      </c>
      <c r="U108" s="3"/>
      <c r="V108" s="7">
        <f t="shared" si="25"/>
        <v>4.2986255340910003E-2</v>
      </c>
      <c r="W108" s="3"/>
      <c r="X108" s="8">
        <f t="shared" si="26"/>
        <v>49458</v>
      </c>
      <c r="Y108" s="3"/>
      <c r="Z108" s="7">
        <f t="shared" si="27"/>
        <v>3.4972422571064912</v>
      </c>
    </row>
    <row r="109" spans="1:26" s="64" customFormat="1" ht="15" customHeight="1" x14ac:dyDescent="0.3">
      <c r="A109" s="36"/>
      <c r="B109" s="36"/>
      <c r="C109" s="36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36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62" customFormat="1" ht="15" customHeight="1" collapsed="1" x14ac:dyDescent="0.3">
      <c r="A110" s="11"/>
      <c r="B110" s="27" t="s">
        <v>290</v>
      </c>
      <c r="C110" s="11"/>
      <c r="D110" s="5">
        <f>SUM(OSRRefD25x_0)</f>
        <v>2073.62</v>
      </c>
      <c r="E110" s="5"/>
      <c r="F110" s="13">
        <f>IF(D$12=0,0,D110/D$12)</f>
        <v>6.6872937934991583E-3</v>
      </c>
      <c r="G110" s="5"/>
      <c r="H110" s="5">
        <f>SUM(OSRRefH25x_0)</f>
        <v>1400.8799999999999</v>
      </c>
      <c r="I110" s="5"/>
      <c r="J110" s="13">
        <f>IF(H$12=0,0,H110/H$12)</f>
        <v>2.7953335282186253E-2</v>
      </c>
      <c r="K110" s="5"/>
      <c r="L110" s="5">
        <f>+D110-H110</f>
        <v>672.74</v>
      </c>
      <c r="M110" s="5"/>
      <c r="N110" s="13">
        <f>IF(H110=0,0,L110/H110)</f>
        <v>0.48022671463651423</v>
      </c>
      <c r="O110" s="11"/>
      <c r="P110" s="5">
        <f>SUM(OSRRefP25x_0)</f>
        <v>143215.47</v>
      </c>
      <c r="Q110" s="5"/>
      <c r="R110" s="13">
        <f>IF(P$12=0,0,P110/P$12)</f>
        <v>0.14412191034291069</v>
      </c>
      <c r="S110" s="5"/>
      <c r="T110" s="5">
        <f>SUM(OSRRefT25x_0)</f>
        <v>17749.219999999998</v>
      </c>
      <c r="U110" s="5"/>
      <c r="V110" s="13">
        <f>IF(T$12=0,0,T110/T$12)</f>
        <v>5.3950820465421191E-2</v>
      </c>
      <c r="W110" s="5"/>
      <c r="X110" s="5">
        <f>+P110-T110</f>
        <v>125466.25</v>
      </c>
      <c r="Y110" s="5"/>
      <c r="Z110" s="13">
        <f>IF(T110=0,0,X110/T110)</f>
        <v>7.068831757113835</v>
      </c>
    </row>
    <row r="111" spans="1:26" s="69" customFormat="1" ht="15" hidden="1" customHeight="1" outlineLevel="1" x14ac:dyDescent="0.3">
      <c r="A111" s="42"/>
      <c r="B111" s="12" t="str">
        <f>CONCATENATE("          ","9150"," - ","MISC. INCOME")</f>
        <v xml:space="preserve">          9150 - MISC. INCOME</v>
      </c>
      <c r="C111" s="12"/>
      <c r="D111" s="3">
        <f>--2073.62</f>
        <v>2073.62</v>
      </c>
      <c r="E111" s="3"/>
      <c r="F111" s="20">
        <f>IF(D$12=0,0,D111/D$12)</f>
        <v>6.6872937934991583E-3</v>
      </c>
      <c r="G111" s="3"/>
      <c r="H111" s="3">
        <f>0</f>
        <v>0</v>
      </c>
      <c r="I111" s="3"/>
      <c r="J111" s="20">
        <f>IF(H$12=0,0,H111/H$12)</f>
        <v>0</v>
      </c>
      <c r="K111" s="3"/>
      <c r="L111" s="3">
        <f>+D111-H111</f>
        <v>2073.62</v>
      </c>
      <c r="M111" s="3"/>
      <c r="N111" s="20">
        <f>IF(H111=0,0,L111/H111)</f>
        <v>0</v>
      </c>
      <c r="O111" s="12"/>
      <c r="P111" s="3">
        <f>--143215.47</f>
        <v>143215.47</v>
      </c>
      <c r="Q111" s="3"/>
      <c r="R111" s="20">
        <f>IF(P$12=0,0,P111/P$12)</f>
        <v>0.14412191034291069</v>
      </c>
      <c r="S111" s="3"/>
      <c r="T111" s="3">
        <f>--1728.05</f>
        <v>1728.05</v>
      </c>
      <c r="U111" s="3"/>
      <c r="V111" s="20">
        <f>IF(T$12=0,0,T111/T$12)</f>
        <v>5.2526091459383067E-3</v>
      </c>
      <c r="W111" s="3"/>
      <c r="X111" s="3">
        <f>+P111-T111</f>
        <v>141487.42000000001</v>
      </c>
      <c r="Y111" s="3"/>
      <c r="Z111" s="20">
        <f>IF(T111=0,0,X111/T111)</f>
        <v>81.876924857498352</v>
      </c>
    </row>
    <row r="112" spans="1:26" s="69" customFormat="1" ht="15" hidden="1" customHeight="1" outlineLevel="1" x14ac:dyDescent="0.3">
      <c r="A112" s="42"/>
      <c r="B112" s="12" t="str">
        <f>CONCATENATE("          ","9160"," - ","MISC. INCOME")</f>
        <v xml:space="preserve">          9160 - MISC.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f>--364.79</f>
        <v>364.79</v>
      </c>
      <c r="I112" s="3"/>
      <c r="J112" s="20">
        <f>IF(H$12=0,0,H112/H$12)</f>
        <v>7.2790654285796964E-3</v>
      </c>
      <c r="K112" s="3"/>
      <c r="L112" s="3">
        <f>+D112-H112</f>
        <v>-364.79</v>
      </c>
      <c r="M112" s="3"/>
      <c r="N112" s="20">
        <f>IF(H112=0,0,L112/H112)</f>
        <v>-1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f>--12882.96</f>
        <v>12882.96</v>
      </c>
      <c r="U112" s="3"/>
      <c r="V112" s="20">
        <f>IF(T$12=0,0,T112/T$12)</f>
        <v>3.9159256689770182E-2</v>
      </c>
      <c r="W112" s="3"/>
      <c r="X112" s="3">
        <f>+P112-T112</f>
        <v>-12882.96</v>
      </c>
      <c r="Y112" s="3"/>
      <c r="Z112" s="20">
        <f>IF(T112=0,0,X112/T112)</f>
        <v>-1</v>
      </c>
    </row>
    <row r="113" spans="1:26" s="69" customFormat="1" ht="15" hidden="1" customHeight="1" outlineLevel="1" x14ac:dyDescent="0.3">
      <c r="A113" s="42"/>
      <c r="B113" s="12" t="str">
        <f>CONCATENATE("          ","9165"," - ","OTHER INCOME")</f>
        <v xml:space="preserve">          9165 - OTHER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f>--1036.09</f>
        <v>1036.0899999999999</v>
      </c>
      <c r="I113" s="3"/>
      <c r="J113" s="20">
        <f>IF(H$12=0,0,H113/H$12)</f>
        <v>2.0674269853606559E-2</v>
      </c>
      <c r="K113" s="3"/>
      <c r="L113" s="3">
        <f>+D113-H113</f>
        <v>-1036.0899999999999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f>--3138.21</f>
        <v>3138.21</v>
      </c>
      <c r="U113" s="3"/>
      <c r="V113" s="20">
        <f>IF(T$12=0,0,T113/T$12)</f>
        <v>9.5389546297127131E-3</v>
      </c>
      <c r="W113" s="3"/>
      <c r="X113" s="3">
        <f>+P113-T113</f>
        <v>-3138.21</v>
      </c>
      <c r="Y113" s="3"/>
      <c r="Z113" s="20">
        <f>IF(T113=0,0,X113/T113)</f>
        <v>-1</v>
      </c>
    </row>
    <row r="114" spans="1:26" ht="15" customHeight="1" x14ac:dyDescent="0.3">
      <c r="A114" s="10"/>
      <c r="B114" s="11"/>
      <c r="C114" s="11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O114" s="11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2" customFormat="1" ht="15" customHeight="1" x14ac:dyDescent="0.3">
      <c r="A115" s="11"/>
      <c r="B115" s="28" t="s">
        <v>291</v>
      </c>
      <c r="C115" s="28"/>
      <c r="D115" s="23">
        <f>+D32-D34+D110</f>
        <v>-63312.759999999944</v>
      </c>
      <c r="E115" s="15"/>
      <c r="F115" s="22">
        <f>IF(D$12=0,0,D115/D$12)</f>
        <v>-0.20417966020645123</v>
      </c>
      <c r="G115" s="15"/>
      <c r="H115" s="23">
        <f>+H32-H34+H110</f>
        <v>-86315.69</v>
      </c>
      <c r="I115" s="15"/>
      <c r="J115" s="22">
        <f>IF(H$12=0,0,H115/H$12)</f>
        <v>-1.7223541079059244</v>
      </c>
      <c r="K115" s="17"/>
      <c r="L115" s="23">
        <f>+D115-H115</f>
        <v>23002.930000000058</v>
      </c>
      <c r="M115" s="17"/>
      <c r="N115" s="22">
        <f>IF(H115=0,0,L115/H115)</f>
        <v>-0.26649766687840948</v>
      </c>
      <c r="O115" s="27"/>
      <c r="P115" s="23">
        <f>+P32-P34+P110</f>
        <v>-923824.7899999998</v>
      </c>
      <c r="Q115" s="15"/>
      <c r="R115" s="22">
        <f>IF(P$12=0,0,P115/P$12)</f>
        <v>-0.92967186824815973</v>
      </c>
      <c r="S115" s="15"/>
      <c r="T115" s="23">
        <f>+T32-T34+T110</f>
        <v>-794854.77</v>
      </c>
      <c r="U115" s="15"/>
      <c r="V115" s="22">
        <f>IF(T$12=0,0,T115/T$12)</f>
        <v>-2.4160536064319258</v>
      </c>
      <c r="W115" s="17"/>
      <c r="X115" s="23">
        <f>+P115-T115</f>
        <v>-128970.01999999979</v>
      </c>
      <c r="Y115" s="17"/>
      <c r="Z115" s="22">
        <f>IF(T115=0,0,X115/T115)</f>
        <v>0.1622560810700045</v>
      </c>
    </row>
    <row r="116" spans="1:26" ht="15" customHeight="1" x14ac:dyDescent="0.3">
      <c r="A116" s="10"/>
      <c r="B116" s="11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48"/>
      <c r="B117" s="11" t="s">
        <v>292</v>
      </c>
      <c r="C117" s="11"/>
      <c r="D117" s="5">
        <v>33547.730000000003</v>
      </c>
      <c r="E117" s="5"/>
      <c r="F117" s="13">
        <f>IF(D$12=0,0,D117/D$12)</f>
        <v>0.10818931463575079</v>
      </c>
      <c r="G117" s="5"/>
      <c r="H117" s="5">
        <v>14528.56</v>
      </c>
      <c r="I117" s="5"/>
      <c r="J117" s="13">
        <f>IF(H$12=0,0,H117/H$12)</f>
        <v>0.28990470907383925</v>
      </c>
      <c r="K117" s="5"/>
      <c r="L117" s="5">
        <f>+D117-H117</f>
        <v>19019.170000000006</v>
      </c>
      <c r="M117" s="5"/>
      <c r="N117" s="13">
        <f>IF(H117=0,0,L117/H117)</f>
        <v>1.3090884437273898</v>
      </c>
      <c r="O117" s="11"/>
      <c r="P117" s="5">
        <v>124037.66</v>
      </c>
      <c r="Q117" s="5"/>
      <c r="R117" s="13">
        <f>IF(P$12=0,0,P117/P$12)</f>
        <v>0.124822720015264</v>
      </c>
      <c r="S117" s="5"/>
      <c r="T117" s="5">
        <v>65151.57</v>
      </c>
      <c r="U117" s="5"/>
      <c r="V117" s="13">
        <f>IF(T$12=0,0,T117/T$12)</f>
        <v>0.19803578163492941</v>
      </c>
      <c r="W117" s="5"/>
      <c r="X117" s="5">
        <f>+P117-T117</f>
        <v>58886.090000000004</v>
      </c>
      <c r="Y117" s="5"/>
      <c r="Z117" s="13">
        <f>IF(T117=0,0,X117/T117)</f>
        <v>0.90383224840168863</v>
      </c>
    </row>
    <row r="118" spans="1:26" ht="15" customHeight="1" x14ac:dyDescent="0.3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11"/>
      <c r="B119" s="28" t="s">
        <v>293</v>
      </c>
      <c r="C119" s="28"/>
      <c r="D119" s="33">
        <f>+D115-D117</f>
        <v>-96860.489999999947</v>
      </c>
      <c r="E119" s="15"/>
      <c r="F119" s="34">
        <f>IF(D$12=0,0,D119/D$12)</f>
        <v>-0.31236897484220205</v>
      </c>
      <c r="G119" s="15"/>
      <c r="H119" s="33">
        <f>+H115-H117</f>
        <v>-100844.25</v>
      </c>
      <c r="I119" s="15"/>
      <c r="J119" s="34">
        <f>IF(H$12=0,0,H119/H$12)</f>
        <v>-2.0122588169797635</v>
      </c>
      <c r="K119" s="17"/>
      <c r="L119" s="33">
        <f>D119-H119</f>
        <v>3983.760000000053</v>
      </c>
      <c r="M119" s="17"/>
      <c r="N119" s="34">
        <f>IF(H119=0,0,L119/H119)</f>
        <v>-3.9504086747633629E-2</v>
      </c>
      <c r="O119" s="27"/>
      <c r="P119" s="33">
        <f>+P115-P117</f>
        <v>-1047862.4499999998</v>
      </c>
      <c r="Q119" s="15"/>
      <c r="R119" s="34">
        <f>IF(P$12=0,0,P119/P$12)</f>
        <v>-1.0544945882634238</v>
      </c>
      <c r="S119" s="15"/>
      <c r="T119" s="33">
        <f>+T115-T117</f>
        <v>-860006.34</v>
      </c>
      <c r="U119" s="15"/>
      <c r="V119" s="34">
        <f>IF(T$12=0,0,T119/T$12)</f>
        <v>-2.614089388066855</v>
      </c>
      <c r="W119" s="17"/>
      <c r="X119" s="33">
        <f>P119-T119</f>
        <v>-187856.10999999987</v>
      </c>
      <c r="Y119" s="17"/>
      <c r="Z119" s="34">
        <f>IF(T119=0,0,X119/T119)</f>
        <v>0.21843572688080401</v>
      </c>
    </row>
    <row r="120" spans="1:26" ht="15" customHeight="1" x14ac:dyDescent="0.3">
      <c r="A120" s="10"/>
      <c r="B120" s="10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2" customFormat="1" ht="15" customHeight="1" x14ac:dyDescent="0.3">
      <c r="A122" s="11"/>
      <c r="B122" s="28" t="s">
        <v>296</v>
      </c>
      <c r="C122" s="28"/>
      <c r="D122" s="35">
        <f>SUM(D119:D121)</f>
        <v>-96860.489999999947</v>
      </c>
      <c r="E122" s="15"/>
      <c r="F122" s="29">
        <f>IF(D$12=0,0,D122/D$12)</f>
        <v>-0.31236897484220205</v>
      </c>
      <c r="G122" s="15"/>
      <c r="H122" s="35">
        <f>SUM(H119:H121)</f>
        <v>-100844.25</v>
      </c>
      <c r="I122" s="15"/>
      <c r="J122" s="29">
        <f>IF(H$12=0,0,H122/H$12)</f>
        <v>-2.0122588169797635</v>
      </c>
      <c r="K122" s="17"/>
      <c r="L122" s="35">
        <f>+D122-H122</f>
        <v>3983.760000000053</v>
      </c>
      <c r="M122" s="17"/>
      <c r="N122" s="29">
        <f>IF(H122=0,0,L122/H122)</f>
        <v>-3.9504086747633629E-2</v>
      </c>
      <c r="O122" s="27"/>
      <c r="P122" s="35">
        <f>SUM(P119:P121)</f>
        <v>-1047862.4499999998</v>
      </c>
      <c r="Q122" s="15"/>
      <c r="R122" s="29">
        <f>IF(P$12=0,0,P122/P$12)</f>
        <v>-1.0544945882634238</v>
      </c>
      <c r="S122" s="15"/>
      <c r="T122" s="35">
        <f>SUM(T119:T121)</f>
        <v>-860006.34</v>
      </c>
      <c r="U122" s="15"/>
      <c r="V122" s="29">
        <f>IF(T$12=0,0,T122/T$12)</f>
        <v>-2.614089388066855</v>
      </c>
      <c r="W122" s="17"/>
      <c r="X122" s="35">
        <f>+P122-T122</f>
        <v>-187856.10999999987</v>
      </c>
      <c r="Y122" s="17"/>
      <c r="Z122" s="29">
        <f>IF(T122=0,0,X122/T122)</f>
        <v>0.21843572688080401</v>
      </c>
    </row>
    <row r="123" spans="1:26" ht="15" customHeight="1" x14ac:dyDescent="0.3">
      <c r="A123" s="10"/>
      <c r="C123" s="10"/>
      <c r="D123" s="18"/>
      <c r="E123" s="18"/>
      <c r="G123" s="18"/>
      <c r="H123" s="18"/>
      <c r="I123" s="18"/>
      <c r="J123" s="41"/>
      <c r="K123" s="18"/>
      <c r="L123" s="18"/>
      <c r="M123" s="18"/>
      <c r="P123" s="18"/>
      <c r="Q123" s="18"/>
      <c r="R123" s="41"/>
      <c r="S123" s="18"/>
      <c r="T123" s="18"/>
      <c r="U123" s="18"/>
      <c r="V123" s="41"/>
      <c r="W123" s="18"/>
      <c r="X123" s="18"/>
    </row>
    <row r="124" spans="1:26" ht="15" customHeight="1" x14ac:dyDescent="0.3">
      <c r="A124" s="10"/>
      <c r="B124" s="50">
        <v>44634.887728703703</v>
      </c>
      <c r="D124" s="18"/>
      <c r="E124" s="18"/>
      <c r="G124" s="18"/>
      <c r="H124" s="18"/>
      <c r="I124" s="18"/>
      <c r="J124" s="41"/>
      <c r="K124" s="18"/>
      <c r="L124" s="18"/>
      <c r="M124" s="18"/>
      <c r="P124" s="18"/>
      <c r="Q124" s="18"/>
      <c r="R124" s="41"/>
      <c r="S124" s="18"/>
      <c r="T124" s="18"/>
      <c r="U124" s="18"/>
      <c r="V124" s="41"/>
      <c r="W124" s="18"/>
      <c r="X124" s="18"/>
    </row>
    <row r="125" spans="1:26" ht="15" customHeight="1" x14ac:dyDescent="0.3">
      <c r="A125" s="10"/>
      <c r="B125" s="58" t="s">
        <v>297</v>
      </c>
      <c r="D125" s="18"/>
      <c r="E125" s="18"/>
      <c r="G125" s="18"/>
      <c r="H125" s="18"/>
      <c r="I125" s="18"/>
      <c r="J125" s="41"/>
      <c r="K125" s="18"/>
      <c r="L125" s="18"/>
      <c r="M125" s="18"/>
      <c r="P125" s="18"/>
      <c r="Q125" s="18"/>
      <c r="R125" s="41"/>
      <c r="S125" s="18"/>
      <c r="T125" s="18"/>
      <c r="U125" s="18"/>
      <c r="V125" s="41"/>
      <c r="W125" s="18"/>
      <c r="X125" s="18"/>
    </row>
    <row r="126" spans="1:26" ht="15" customHeight="1" x14ac:dyDescent="0.3">
      <c r="A126" s="10"/>
      <c r="B126" s="56"/>
      <c r="D126" s="18"/>
      <c r="E126" s="18"/>
      <c r="G126" s="18"/>
      <c r="H126" s="18"/>
      <c r="I126" s="18"/>
      <c r="J126" s="41"/>
      <c r="K126" s="18"/>
      <c r="L126" s="18"/>
      <c r="M126" s="18"/>
      <c r="P126" s="18"/>
      <c r="Q126" s="18"/>
      <c r="R126" s="41"/>
      <c r="S126" s="18"/>
      <c r="T126" s="18"/>
      <c r="U126" s="18"/>
      <c r="V126" s="41"/>
      <c r="W126" s="18"/>
      <c r="X126" s="18"/>
    </row>
    <row r="127" spans="1:26" ht="15" customHeight="1" x14ac:dyDescent="0.3">
      <c r="D127" s="18"/>
      <c r="E127" s="18"/>
      <c r="G127" s="18"/>
      <c r="H127" s="18"/>
      <c r="I127" s="18"/>
      <c r="J127" s="41"/>
      <c r="K127" s="18"/>
      <c r="L127" s="18"/>
      <c r="M127" s="18"/>
      <c r="P127" s="18"/>
      <c r="Q127" s="18"/>
      <c r="R127" s="41"/>
      <c r="S127" s="18"/>
      <c r="T127" s="18"/>
      <c r="U127" s="18"/>
      <c r="V127" s="41"/>
      <c r="W127" s="18"/>
      <c r="X127" s="18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6FEF-1B0B-1DFE-D573-E6F557D529F4}">
  <sheetPr>
    <tabColor rgb="FFFFFF00"/>
    <outlinePr summaryBelow="0" summaryRight="0"/>
  </sheetPr>
  <dimension ref="A2:Z11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311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216217.62</v>
      </c>
      <c r="E12" s="5"/>
      <c r="F12" s="13"/>
      <c r="G12" s="5"/>
      <c r="H12" s="5">
        <f>SUM(OSRRefH13x_0)</f>
        <v>49980.95</v>
      </c>
      <c r="I12" s="5"/>
      <c r="J12" s="13"/>
      <c r="K12" s="5"/>
      <c r="L12" s="5">
        <f t="shared" ref="L12:L17" si="0">+D12-H12</f>
        <v>166236.66999999998</v>
      </c>
      <c r="M12" s="5"/>
      <c r="N12" s="13">
        <f t="shared" ref="N12:N17" si="1">IF(H12=0,0,L12/H12)</f>
        <v>3.3260006062309739</v>
      </c>
      <c r="O12" s="11"/>
      <c r="P12" s="5">
        <f>SUM(OSRRefP13x_0)</f>
        <v>818603.67999999993</v>
      </c>
      <c r="Q12" s="5"/>
      <c r="R12" s="13"/>
      <c r="S12" s="5"/>
      <c r="T12" s="5">
        <f>SUM(OSRRefT13x_0)</f>
        <v>326268.40999999992</v>
      </c>
      <c r="U12" s="5"/>
      <c r="V12" s="13"/>
      <c r="W12" s="5"/>
      <c r="X12" s="5">
        <f t="shared" ref="X12:X17" si="2">+P12-T12</f>
        <v>492335.27</v>
      </c>
      <c r="Y12" s="5"/>
      <c r="Z12" s="13">
        <f t="shared" ref="Z12:Z17" si="3">IF(T12=0,0,X12/T12)</f>
        <v>1.5089884736312662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--56305.76</f>
        <v>56305.760000000002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56305.760000000002</v>
      </c>
      <c r="M13" s="3"/>
      <c r="N13" s="20">
        <f t="shared" si="1"/>
        <v>0</v>
      </c>
      <c r="O13" s="12"/>
      <c r="P13" s="3">
        <f>--205665.12</f>
        <v>205665.12</v>
      </c>
      <c r="Q13" s="3"/>
      <c r="R13" s="20"/>
      <c r="S13" s="3"/>
      <c r="T13" s="3">
        <f>--22964.48</f>
        <v>22964.48</v>
      </c>
      <c r="U13" s="3"/>
      <c r="V13" s="20"/>
      <c r="W13" s="3"/>
      <c r="X13" s="3">
        <f t="shared" si="2"/>
        <v>182700.63999999998</v>
      </c>
      <c r="Y13" s="3"/>
      <c r="Z13" s="20">
        <f t="shared" si="3"/>
        <v>7.9557925979599791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--49980.95</f>
        <v>49980.95</v>
      </c>
      <c r="I14" s="3"/>
      <c r="J14" s="20"/>
      <c r="K14" s="3"/>
      <c r="L14" s="3">
        <f t="shared" si="0"/>
        <v>-49980.95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--280157.8</f>
        <v>280157.8</v>
      </c>
      <c r="U14" s="3"/>
      <c r="V14" s="20"/>
      <c r="W14" s="3"/>
      <c r="X14" s="3">
        <f t="shared" si="2"/>
        <v>-280157.8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--5743.27</f>
        <v>5743.27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5743.27</v>
      </c>
      <c r="M15" s="3"/>
      <c r="N15" s="20">
        <f t="shared" si="1"/>
        <v>0</v>
      </c>
      <c r="O15" s="12"/>
      <c r="P15" s="3">
        <f>--14535.74</f>
        <v>14535.74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14535.74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","4058"," - ","TAXABLE SALES-FOOD")</f>
        <v xml:space="preserve">          4058 -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--974.91</f>
        <v>974.91</v>
      </c>
      <c r="U16" s="3"/>
      <c r="V16" s="20"/>
      <c r="W16" s="3"/>
      <c r="X16" s="3">
        <f t="shared" si="2"/>
        <v>-974.91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--154168.59</f>
        <v>154168.59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154168.59</v>
      </c>
      <c r="M17" s="3"/>
      <c r="N17" s="20">
        <f t="shared" si="1"/>
        <v>0</v>
      </c>
      <c r="O17" s="12"/>
      <c r="P17" s="3">
        <f>--598402.82</f>
        <v>598402.81999999995</v>
      </c>
      <c r="Q17" s="3"/>
      <c r="R17" s="20"/>
      <c r="S17" s="3"/>
      <c r="T17" s="3">
        <f>--22171.22</f>
        <v>22171.22</v>
      </c>
      <c r="U17" s="3"/>
      <c r="V17" s="20"/>
      <c r="W17" s="3"/>
      <c r="X17" s="3">
        <f t="shared" si="2"/>
        <v>576231.6</v>
      </c>
      <c r="Y17" s="3"/>
      <c r="Z17" s="20">
        <f t="shared" si="3"/>
        <v>25.990071813819895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collapsed="1" x14ac:dyDescent="0.3">
      <c r="A19" s="11"/>
      <c r="B19" s="27" t="s">
        <v>287</v>
      </c>
      <c r="C19" s="11"/>
      <c r="D19" s="5">
        <f>SUM(OSRRefD16x_0)</f>
        <v>78542.459999999992</v>
      </c>
      <c r="E19" s="5"/>
      <c r="F19" s="13">
        <f>IF(D$12=0,0,D19/D$12)</f>
        <v>0.36325651905704998</v>
      </c>
      <c r="G19" s="5"/>
      <c r="H19" s="5">
        <f>SUM(OSRRefH16x_0)</f>
        <v>-4319.1099999999997</v>
      </c>
      <c r="I19" s="5"/>
      <c r="J19" s="13">
        <f>IF(H$12=0,0,H19/H$12)</f>
        <v>-8.6415124162305831E-2</v>
      </c>
      <c r="K19" s="5"/>
      <c r="L19" s="5">
        <f>+D19-H19</f>
        <v>82861.569999999992</v>
      </c>
      <c r="M19" s="5"/>
      <c r="N19" s="13">
        <f>IF(H19=0,0,L19/H19)</f>
        <v>-19.184871420269452</v>
      </c>
      <c r="O19" s="11"/>
      <c r="P19" s="5">
        <f>SUM(OSRRefP16x_0)</f>
        <v>320930.17</v>
      </c>
      <c r="Q19" s="5"/>
      <c r="R19" s="13">
        <f>IF(P$12=0,0,P19/P$12)</f>
        <v>0.39204584323393221</v>
      </c>
      <c r="S19" s="5"/>
      <c r="T19" s="5">
        <f>SUM(OSRRefT16x_0)</f>
        <v>15854.24</v>
      </c>
      <c r="U19" s="5"/>
      <c r="V19" s="13">
        <f>IF(T$12=0,0,T19/T$12)</f>
        <v>4.8592629608241886E-2</v>
      </c>
      <c r="W19" s="5"/>
      <c r="X19" s="5">
        <f>+P19-T19</f>
        <v>305075.93</v>
      </c>
      <c r="Y19" s="5"/>
      <c r="Z19" s="13">
        <f>IF(T19=0,0,X19/T19)</f>
        <v>19.24254521188023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67997.179999999993</v>
      </c>
      <c r="E20" s="3"/>
      <c r="F20" s="20">
        <f>IF(D$12=0,0,D20/D$12)</f>
        <v>0.31448491570668474</v>
      </c>
      <c r="G20" s="3"/>
      <c r="H20" s="3">
        <v>-4739.1099999999997</v>
      </c>
      <c r="I20" s="3"/>
      <c r="J20" s="20">
        <f>IF(H$12=0,0,H20/H$12)</f>
        <v>-9.4818325782122986E-2</v>
      </c>
      <c r="K20" s="3"/>
      <c r="L20" s="3">
        <f>+D20-H20</f>
        <v>72736.289999999994</v>
      </c>
      <c r="M20" s="3"/>
      <c r="N20" s="20">
        <f>IF(H20=0,0,L20/H20)</f>
        <v>-15.348090675253371</v>
      </c>
      <c r="O20" s="12"/>
      <c r="P20" s="3">
        <v>297231.68</v>
      </c>
      <c r="Q20" s="3"/>
      <c r="R20" s="20">
        <f>IF(P$12=0,0,P20/P$12)</f>
        <v>0.36309594894564856</v>
      </c>
      <c r="S20" s="3"/>
      <c r="T20" s="3">
        <v>10105.16</v>
      </c>
      <c r="U20" s="3"/>
      <c r="V20" s="20">
        <f>IF(T$12=0,0,T20/T$12)</f>
        <v>3.0971922779775101E-2</v>
      </c>
      <c r="W20" s="3"/>
      <c r="X20" s="3">
        <f>+P20-T20</f>
        <v>287126.52</v>
      </c>
      <c r="Y20" s="3"/>
      <c r="Z20" s="20">
        <f>IF(T20=0,0,X20/T20)</f>
        <v>28.413851933071818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10545.28</v>
      </c>
      <c r="E21" s="3"/>
      <c r="F21" s="20">
        <f>IF(D$12=0,0,D21/D$12)</f>
        <v>4.8771603350365254E-2</v>
      </c>
      <c r="G21" s="3"/>
      <c r="H21" s="3">
        <v>420</v>
      </c>
      <c r="I21" s="3"/>
      <c r="J21" s="20">
        <f>IF(H$12=0,0,H21/H$12)</f>
        <v>8.4032016198171515E-3</v>
      </c>
      <c r="K21" s="3"/>
      <c r="L21" s="3">
        <f>+D21-H21</f>
        <v>10125.280000000001</v>
      </c>
      <c r="M21" s="3"/>
      <c r="N21" s="20">
        <f>IF(H21=0,0,L21/H21)</f>
        <v>24.107809523809525</v>
      </c>
      <c r="O21" s="12"/>
      <c r="P21" s="3">
        <v>23698.49</v>
      </c>
      <c r="Q21" s="3"/>
      <c r="R21" s="20">
        <f>IF(P$12=0,0,P21/P$12)</f>
        <v>2.8949894288283682E-2</v>
      </c>
      <c r="S21" s="3"/>
      <c r="T21" s="3">
        <v>5749.08</v>
      </c>
      <c r="U21" s="3"/>
      <c r="V21" s="20">
        <f>IF(T$12=0,0,T21/T$12)</f>
        <v>1.7620706828466788E-2</v>
      </c>
      <c r="W21" s="3"/>
      <c r="X21" s="3">
        <f>+P21-T21</f>
        <v>17949.410000000003</v>
      </c>
      <c r="Y21" s="3"/>
      <c r="Z21" s="20">
        <f>IF(T21=0,0,X21/T21)</f>
        <v>3.1221360635092927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3">
        <f>D12-D19</f>
        <v>137675.16</v>
      </c>
      <c r="E23" s="15"/>
      <c r="F23" s="22">
        <f>IF(D$12=0,0,D23/D$12)</f>
        <v>0.63674348094294997</v>
      </c>
      <c r="G23" s="15"/>
      <c r="H23" s="23">
        <f>H12-H19</f>
        <v>54300.06</v>
      </c>
      <c r="I23" s="15"/>
      <c r="J23" s="22">
        <f>IF(H$12=0,0,H23/H$12)</f>
        <v>1.0864151241623059</v>
      </c>
      <c r="K23" s="17"/>
      <c r="L23" s="23">
        <f>+D23-H23</f>
        <v>83375.100000000006</v>
      </c>
      <c r="M23" s="17"/>
      <c r="N23" s="22">
        <f>IF(H23=0,0,L23/H23)</f>
        <v>1.535451342042716</v>
      </c>
      <c r="O23" s="27"/>
      <c r="P23" s="23">
        <f>P12-P19</f>
        <v>497673.50999999995</v>
      </c>
      <c r="Q23" s="15"/>
      <c r="R23" s="22">
        <f>IF(P$12=0,0,P23/P$12)</f>
        <v>0.60795415676606779</v>
      </c>
      <c r="S23" s="15"/>
      <c r="T23" s="23">
        <f>T12-T19</f>
        <v>310414.16999999993</v>
      </c>
      <c r="U23" s="15"/>
      <c r="V23" s="22">
        <f>IF(T$12=0,0,T23/T$12)</f>
        <v>0.95140737039175816</v>
      </c>
      <c r="W23" s="17"/>
      <c r="X23" s="23">
        <f>+P23-T23</f>
        <v>187259.34000000003</v>
      </c>
      <c r="Y23" s="17"/>
      <c r="Z23" s="22">
        <f>IF(T23=0,0,X23/T23)</f>
        <v>0.60325641706369293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1" cm="1">
        <f t="array" ref="D25">SUM(OSRRefD22x_0)</f>
        <v>197097.52999999994</v>
      </c>
      <c r="E25" s="21"/>
      <c r="F25" s="30">
        <f t="shared" ref="F25:F56" si="4">IF(D$12=0,0,D25/D$12)</f>
        <v>0.91157015788074969</v>
      </c>
      <c r="G25" s="21"/>
      <c r="H25" s="21" cm="1">
        <f t="array" ref="H25">SUM(OSRRefH22x_0)</f>
        <v>107369.61</v>
      </c>
      <c r="I25" s="21"/>
      <c r="J25" s="30">
        <f t="shared" ref="J25:J56" si="5">IF(H$12=0,0,H25/H$12)</f>
        <v>2.1482106682646092</v>
      </c>
      <c r="K25" s="5"/>
      <c r="L25" s="21">
        <f t="shared" ref="L25:L56" si="6">+D25-H25</f>
        <v>89727.91999999994</v>
      </c>
      <c r="M25" s="5"/>
      <c r="N25" s="30">
        <f t="shared" ref="N25:N56" si="7">IF(H25=0,0,L25/H25)</f>
        <v>0.83569196162675774</v>
      </c>
      <c r="O25" s="11"/>
      <c r="P25" s="21" cm="1">
        <f t="array" ref="P25">SUM(OSRRefP22x_0)</f>
        <v>1438104.6399999997</v>
      </c>
      <c r="Q25" s="21"/>
      <c r="R25" s="30">
        <f t="shared" ref="R25:R56" si="8">IF(P$12=0,0,P25/P$12)</f>
        <v>1.756777638722562</v>
      </c>
      <c r="S25" s="21"/>
      <c r="T25" s="21" cm="1">
        <f t="array" ref="T25">SUM(OSRRefT22x_0)</f>
        <v>894122.76000000013</v>
      </c>
      <c r="U25" s="21"/>
      <c r="V25" s="30">
        <f t="shared" ref="V25:V56" si="9">IF(T$12=0,0,T25/T$12)</f>
        <v>2.7404515196552444</v>
      </c>
      <c r="W25" s="5"/>
      <c r="X25" s="21">
        <f t="shared" ref="X25:X56" si="10">+P25-T25</f>
        <v>543981.87999999954</v>
      </c>
      <c r="Y25" s="5"/>
      <c r="Z25" s="30">
        <f t="shared" ref="Z25:Z56" si="11">IF(T25=0,0,X25/T25)</f>
        <v>0.60839730777013157</v>
      </c>
    </row>
    <row r="26" spans="1:26" s="68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29321.059999999998</v>
      </c>
      <c r="E26" s="2"/>
      <c r="F26" s="6">
        <f t="shared" si="4"/>
        <v>0.13560902205842429</v>
      </c>
      <c r="G26" s="2"/>
      <c r="H26" s="2">
        <f>SUM(OSRRefH22_0x_0)</f>
        <v>18076.13</v>
      </c>
      <c r="I26" s="2"/>
      <c r="J26" s="6">
        <f t="shared" si="5"/>
        <v>0.36166039260958427</v>
      </c>
      <c r="K26" s="2"/>
      <c r="L26" s="2">
        <f t="shared" si="6"/>
        <v>11244.929999999997</v>
      </c>
      <c r="M26" s="2"/>
      <c r="N26" s="6">
        <f t="shared" si="7"/>
        <v>0.62208724987040898</v>
      </c>
      <c r="O26" s="14"/>
      <c r="P26" s="2">
        <f>SUM(OSRRefP22_0x_0)</f>
        <v>244903.81</v>
      </c>
      <c r="Q26" s="2"/>
      <c r="R26" s="6">
        <f t="shared" si="8"/>
        <v>0.29917262282524804</v>
      </c>
      <c r="S26" s="2"/>
      <c r="T26" s="2">
        <f>SUM(OSRRefT22_0x_0)</f>
        <v>168070.19000000003</v>
      </c>
      <c r="U26" s="2"/>
      <c r="V26" s="6">
        <f t="shared" si="9"/>
        <v>0.51512860224500456</v>
      </c>
      <c r="W26" s="2"/>
      <c r="X26" s="2">
        <f t="shared" si="10"/>
        <v>76833.619999999966</v>
      </c>
      <c r="Y26" s="2"/>
      <c r="Z26" s="6">
        <f t="shared" si="11"/>
        <v>0.45715197918203077</v>
      </c>
    </row>
    <row r="27" spans="1:26" s="69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4519.47</v>
      </c>
      <c r="E27" s="3"/>
      <c r="F27" s="7">
        <f t="shared" si="4"/>
        <v>2.0902413041083333E-2</v>
      </c>
      <c r="G27" s="3"/>
      <c r="H27" s="8">
        <v>2064.8200000000002</v>
      </c>
      <c r="I27" s="3"/>
      <c r="J27" s="7">
        <f t="shared" si="5"/>
        <v>4.1312139925311547E-2</v>
      </c>
      <c r="K27" s="3"/>
      <c r="L27" s="8">
        <f t="shared" si="6"/>
        <v>2454.65</v>
      </c>
      <c r="M27" s="3"/>
      <c r="N27" s="7">
        <f t="shared" si="7"/>
        <v>1.1887961178214081</v>
      </c>
      <c r="O27" s="12"/>
      <c r="P27" s="8">
        <v>34697.53</v>
      </c>
      <c r="Q27" s="3"/>
      <c r="R27" s="7">
        <f t="shared" si="8"/>
        <v>4.238623750139995E-2</v>
      </c>
      <c r="S27" s="3"/>
      <c r="T27" s="8">
        <v>19740.41</v>
      </c>
      <c r="U27" s="3"/>
      <c r="V27" s="7">
        <f t="shared" si="9"/>
        <v>6.0503589667170059E-2</v>
      </c>
      <c r="W27" s="3"/>
      <c r="X27" s="8">
        <f t="shared" si="10"/>
        <v>14957.119999999999</v>
      </c>
      <c r="Y27" s="3"/>
      <c r="Z27" s="7">
        <f t="shared" si="11"/>
        <v>0.75769044310629818</v>
      </c>
    </row>
    <row r="28" spans="1:26" s="69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2286.44</v>
      </c>
      <c r="E28" s="3"/>
      <c r="F28" s="7">
        <f t="shared" si="4"/>
        <v>1.0574716343654139E-2</v>
      </c>
      <c r="G28" s="3"/>
      <c r="H28" s="8">
        <v>629.72</v>
      </c>
      <c r="I28" s="3"/>
      <c r="J28" s="7">
        <f t="shared" si="5"/>
        <v>1.2599200295312515E-2</v>
      </c>
      <c r="K28" s="3"/>
      <c r="L28" s="8">
        <f t="shared" si="6"/>
        <v>1656.72</v>
      </c>
      <c r="M28" s="3"/>
      <c r="N28" s="7">
        <f t="shared" si="7"/>
        <v>2.6308835672997524</v>
      </c>
      <c r="O28" s="12"/>
      <c r="P28" s="8">
        <v>15892.61</v>
      </c>
      <c r="Q28" s="3"/>
      <c r="R28" s="7">
        <f t="shared" si="8"/>
        <v>1.9414290930136059E-2</v>
      </c>
      <c r="S28" s="3"/>
      <c r="T28" s="8">
        <v>5792.22</v>
      </c>
      <c r="U28" s="3"/>
      <c r="V28" s="7">
        <f t="shared" si="9"/>
        <v>1.7752929252329398E-2</v>
      </c>
      <c r="W28" s="3"/>
      <c r="X28" s="8">
        <f t="shared" si="10"/>
        <v>10100.39</v>
      </c>
      <c r="Y28" s="3"/>
      <c r="Z28" s="7">
        <f t="shared" si="11"/>
        <v>1.7437856296894798</v>
      </c>
    </row>
    <row r="29" spans="1:26" s="69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11880.48</v>
      </c>
      <c r="E29" s="3"/>
      <c r="F29" s="7">
        <f t="shared" si="4"/>
        <v>5.4946863257490298E-2</v>
      </c>
      <c r="G29" s="3"/>
      <c r="H29" s="8">
        <v>8554.93</v>
      </c>
      <c r="I29" s="3"/>
      <c r="J29" s="7">
        <f t="shared" si="5"/>
        <v>0.17116381341291034</v>
      </c>
      <c r="K29" s="3"/>
      <c r="L29" s="8">
        <f t="shared" si="6"/>
        <v>3325.5499999999993</v>
      </c>
      <c r="M29" s="3"/>
      <c r="N29" s="7">
        <f t="shared" si="7"/>
        <v>0.38872907200877144</v>
      </c>
      <c r="O29" s="12"/>
      <c r="P29" s="8">
        <v>98692.52</v>
      </c>
      <c r="Q29" s="3"/>
      <c r="R29" s="7">
        <f t="shared" si="8"/>
        <v>0.12056202825767899</v>
      </c>
      <c r="S29" s="3"/>
      <c r="T29" s="8">
        <v>78041.710000000006</v>
      </c>
      <c r="U29" s="3"/>
      <c r="V29" s="7">
        <f t="shared" si="9"/>
        <v>0.23919480896112508</v>
      </c>
      <c r="W29" s="3"/>
      <c r="X29" s="8">
        <f t="shared" si="10"/>
        <v>20650.809999999998</v>
      </c>
      <c r="Y29" s="3"/>
      <c r="Z29" s="7">
        <f t="shared" si="11"/>
        <v>0.2646124745344508</v>
      </c>
    </row>
    <row r="30" spans="1:26" s="69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195.25</v>
      </c>
      <c r="E30" s="3"/>
      <c r="F30" s="7">
        <f t="shared" si="4"/>
        <v>9.0302538710767427E-4</v>
      </c>
      <c r="G30" s="3"/>
      <c r="H30" s="8">
        <v>81.3</v>
      </c>
      <c r="I30" s="3"/>
      <c r="J30" s="7">
        <f t="shared" si="5"/>
        <v>1.6266197421217483E-3</v>
      </c>
      <c r="K30" s="3"/>
      <c r="L30" s="8">
        <f t="shared" si="6"/>
        <v>113.95</v>
      </c>
      <c r="M30" s="3"/>
      <c r="N30" s="7">
        <f t="shared" si="7"/>
        <v>1.4015990159901599</v>
      </c>
      <c r="O30" s="12"/>
      <c r="P30" s="8">
        <v>1399.65</v>
      </c>
      <c r="Q30" s="3"/>
      <c r="R30" s="7">
        <f t="shared" si="8"/>
        <v>1.7098017443557061E-3</v>
      </c>
      <c r="S30" s="3"/>
      <c r="T30" s="8">
        <v>754.52</v>
      </c>
      <c r="U30" s="3"/>
      <c r="V30" s="7">
        <f t="shared" si="9"/>
        <v>2.3125744843026639E-3</v>
      </c>
      <c r="W30" s="3"/>
      <c r="X30" s="8">
        <f t="shared" si="10"/>
        <v>645.13000000000011</v>
      </c>
      <c r="Y30" s="3"/>
      <c r="Z30" s="7">
        <f t="shared" si="11"/>
        <v>0.85502041032709553</v>
      </c>
    </row>
    <row r="31" spans="1:26" s="69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3154.69</v>
      </c>
      <c r="E31" s="3"/>
      <c r="F31" s="7">
        <f t="shared" si="4"/>
        <v>1.4590346522175205E-2</v>
      </c>
      <c r="G31" s="3"/>
      <c r="H31" s="8">
        <v>2703.34</v>
      </c>
      <c r="I31" s="3"/>
      <c r="J31" s="7">
        <f t="shared" si="5"/>
        <v>5.4087407302182137E-2</v>
      </c>
      <c r="K31" s="3"/>
      <c r="L31" s="8">
        <f t="shared" si="6"/>
        <v>451.34999999999991</v>
      </c>
      <c r="M31" s="3"/>
      <c r="N31" s="7">
        <f t="shared" si="7"/>
        <v>0.16696013080115704</v>
      </c>
      <c r="O31" s="12"/>
      <c r="P31" s="8">
        <v>27361.13</v>
      </c>
      <c r="Q31" s="3"/>
      <c r="R31" s="7">
        <f t="shared" si="8"/>
        <v>3.3424147323647513E-2</v>
      </c>
      <c r="S31" s="3"/>
      <c r="T31" s="8">
        <v>26926.45</v>
      </c>
      <c r="U31" s="3"/>
      <c r="V31" s="7">
        <f t="shared" si="9"/>
        <v>8.2528523064798118E-2</v>
      </c>
      <c r="W31" s="3"/>
      <c r="X31" s="8">
        <f t="shared" si="10"/>
        <v>434.68000000000029</v>
      </c>
      <c r="Y31" s="3"/>
      <c r="Z31" s="7">
        <f t="shared" si="11"/>
        <v>1.6143234626176131E-2</v>
      </c>
    </row>
    <row r="32" spans="1:26" s="69" customFormat="1" ht="15" hidden="1" customHeight="1" outlineLevel="2" x14ac:dyDescent="0.3">
      <c r="A32" s="26"/>
      <c r="B32" s="12" t="str">
        <f>CONCATENATE("          ","6118"," - ","VACATION")</f>
        <v xml:space="preserve">          6118 - VACATION</v>
      </c>
      <c r="C32" s="12"/>
      <c r="D32" s="8">
        <v>3126.34</v>
      </c>
      <c r="E32" s="3"/>
      <c r="F32" s="7">
        <f t="shared" si="4"/>
        <v>1.4459228623458163E-2</v>
      </c>
      <c r="G32" s="3"/>
      <c r="H32" s="8">
        <v>2462.92</v>
      </c>
      <c r="I32" s="3"/>
      <c r="J32" s="7">
        <f t="shared" si="5"/>
        <v>4.9277174603523946E-2</v>
      </c>
      <c r="K32" s="3"/>
      <c r="L32" s="8">
        <f t="shared" si="6"/>
        <v>663.42000000000007</v>
      </c>
      <c r="M32" s="3"/>
      <c r="N32" s="7">
        <f t="shared" si="7"/>
        <v>0.26936319490685856</v>
      </c>
      <c r="O32" s="12"/>
      <c r="P32" s="8">
        <v>28840.94</v>
      </c>
      <c r="Q32" s="3"/>
      <c r="R32" s="7">
        <f t="shared" si="8"/>
        <v>3.523187191144804E-2</v>
      </c>
      <c r="S32" s="3"/>
      <c r="T32" s="8">
        <v>20972</v>
      </c>
      <c r="U32" s="3"/>
      <c r="V32" s="7">
        <f t="shared" si="9"/>
        <v>6.4278365165662238E-2</v>
      </c>
      <c r="W32" s="3"/>
      <c r="X32" s="8">
        <f t="shared" si="10"/>
        <v>7868.9399999999987</v>
      </c>
      <c r="Y32" s="3"/>
      <c r="Z32" s="7">
        <f t="shared" si="11"/>
        <v>0.37521171085256527</v>
      </c>
    </row>
    <row r="33" spans="1:26" s="69" customFormat="1" ht="15" hidden="1" customHeight="1" outlineLevel="2" x14ac:dyDescent="0.3">
      <c r="A33" s="26"/>
      <c r="B33" s="12" t="str">
        <f>CONCATENATE("          ","6119"," - ","SICK LEAVE")</f>
        <v xml:space="preserve">          6119 - SICK LEAVE</v>
      </c>
      <c r="C33" s="12"/>
      <c r="D33" s="8">
        <v>2205.6</v>
      </c>
      <c r="E33" s="3"/>
      <c r="F33" s="7">
        <f t="shared" si="4"/>
        <v>1.0200833771086741E-2</v>
      </c>
      <c r="G33" s="3"/>
      <c r="H33" s="8">
        <v>1382.86</v>
      </c>
      <c r="I33" s="3"/>
      <c r="J33" s="7">
        <f t="shared" si="5"/>
        <v>2.766774140947701E-2</v>
      </c>
      <c r="K33" s="3"/>
      <c r="L33" s="8">
        <f t="shared" si="6"/>
        <v>822.74</v>
      </c>
      <c r="M33" s="3"/>
      <c r="N33" s="7">
        <f t="shared" si="7"/>
        <v>0.59495538232359024</v>
      </c>
      <c r="O33" s="12"/>
      <c r="P33" s="8">
        <v>25765.21</v>
      </c>
      <c r="Q33" s="3"/>
      <c r="R33" s="7">
        <f t="shared" si="8"/>
        <v>3.1474583647119692E-2</v>
      </c>
      <c r="S33" s="3"/>
      <c r="T33" s="8">
        <v>12125.28</v>
      </c>
      <c r="U33" s="3"/>
      <c r="V33" s="7">
        <f t="shared" si="9"/>
        <v>3.7163512091164461E-2</v>
      </c>
      <c r="W33" s="3"/>
      <c r="X33" s="8">
        <f t="shared" si="10"/>
        <v>13639.929999999998</v>
      </c>
      <c r="Y33" s="3"/>
      <c r="Z33" s="7">
        <f t="shared" si="11"/>
        <v>1.1249167029544882</v>
      </c>
    </row>
    <row r="34" spans="1:26" s="69" customFormat="1" ht="15" hidden="1" customHeight="1" outlineLevel="2" x14ac:dyDescent="0.3">
      <c r="A34" s="26"/>
      <c r="B34" s="12" t="str">
        <f>CONCATENATE("          ","6156"," - ","EMPLOYEE MEALS")</f>
        <v xml:space="preserve">          6156 - EMPLOYEE MEALS</v>
      </c>
      <c r="C34" s="12"/>
      <c r="D34" s="8">
        <v>1952.79</v>
      </c>
      <c r="E34" s="3"/>
      <c r="F34" s="7">
        <f t="shared" si="4"/>
        <v>9.0315951123687323E-3</v>
      </c>
      <c r="G34" s="3"/>
      <c r="H34" s="8">
        <v>196.24</v>
      </c>
      <c r="I34" s="3"/>
      <c r="J34" s="7">
        <f t="shared" si="5"/>
        <v>3.9262959187450425E-3</v>
      </c>
      <c r="K34" s="3"/>
      <c r="L34" s="8">
        <f t="shared" si="6"/>
        <v>1756.55</v>
      </c>
      <c r="M34" s="3"/>
      <c r="N34" s="7">
        <f t="shared" si="7"/>
        <v>8.9510293518141051</v>
      </c>
      <c r="O34" s="12"/>
      <c r="P34" s="8">
        <v>12254.22</v>
      </c>
      <c r="Q34" s="3"/>
      <c r="R34" s="7">
        <f t="shared" si="8"/>
        <v>1.4969661509462063E-2</v>
      </c>
      <c r="S34" s="3"/>
      <c r="T34" s="8">
        <v>3717.6</v>
      </c>
      <c r="U34" s="3"/>
      <c r="V34" s="7">
        <f t="shared" si="9"/>
        <v>1.1394299558452505E-2</v>
      </c>
      <c r="W34" s="3"/>
      <c r="X34" s="8">
        <f t="shared" si="10"/>
        <v>8536.619999999999</v>
      </c>
      <c r="Y34" s="3"/>
      <c r="Z34" s="7">
        <f t="shared" si="11"/>
        <v>2.2962717882504839</v>
      </c>
    </row>
    <row r="35" spans="1:26" s="68" customFormat="1" ht="15" customHeight="1" outlineLevel="1" collapsed="1" x14ac:dyDescent="0.3">
      <c r="A35" s="25"/>
      <c r="B35" s="14" t="str">
        <f>CONCATENATE("     ","*Payroll                                          ")</f>
        <v xml:space="preserve">     *Payroll                                          </v>
      </c>
      <c r="C35" s="14"/>
      <c r="D35" s="2">
        <f>SUM(OSRRefD22_1x_0)</f>
        <v>80099.55</v>
      </c>
      <c r="E35" s="2"/>
      <c r="F35" s="6">
        <f t="shared" si="4"/>
        <v>0.37045801355134705</v>
      </c>
      <c r="G35" s="2"/>
      <c r="H35" s="2">
        <f>SUM(OSRRefH22_1x_0)</f>
        <v>25366.62</v>
      </c>
      <c r="I35" s="2"/>
      <c r="J35" s="6">
        <f t="shared" si="5"/>
        <v>0.50752576731734789</v>
      </c>
      <c r="K35" s="2"/>
      <c r="L35" s="2">
        <f t="shared" si="6"/>
        <v>54732.930000000008</v>
      </c>
      <c r="M35" s="2"/>
      <c r="N35" s="6">
        <f t="shared" si="7"/>
        <v>2.157675322924379</v>
      </c>
      <c r="O35" s="14"/>
      <c r="P35" s="2">
        <f>SUM(OSRRefP22_1x_0)</f>
        <v>529290.89</v>
      </c>
      <c r="Q35" s="2"/>
      <c r="R35" s="6">
        <f t="shared" si="8"/>
        <v>0.64657770656491553</v>
      </c>
      <c r="S35" s="2"/>
      <c r="T35" s="2">
        <f>SUM(OSRRefT22_1x_0)</f>
        <v>233504.28999999998</v>
      </c>
      <c r="U35" s="2"/>
      <c r="V35" s="6">
        <f t="shared" si="9"/>
        <v>0.71568157640514463</v>
      </c>
      <c r="W35" s="2"/>
      <c r="X35" s="2">
        <f t="shared" si="10"/>
        <v>295786.60000000003</v>
      </c>
      <c r="Y35" s="2"/>
      <c r="Z35" s="6">
        <f t="shared" si="11"/>
        <v>1.2667287611717972</v>
      </c>
    </row>
    <row r="36" spans="1:26" s="69" customFormat="1" ht="15" hidden="1" customHeight="1" outlineLevel="2" x14ac:dyDescent="0.3">
      <c r="A36" s="26"/>
      <c r="B36" s="12" t="str">
        <f>CONCATENATE("          ","6001"," - ","ADMINISTRATIVE SALARIES")</f>
        <v xml:space="preserve">          6001 - ADMINISTRATIVE SALARIES</v>
      </c>
      <c r="C36" s="12"/>
      <c r="D36" s="8">
        <v>10936.46</v>
      </c>
      <c r="E36" s="3"/>
      <c r="F36" s="7">
        <f t="shared" si="4"/>
        <v>5.0580799104161814E-2</v>
      </c>
      <c r="G36" s="3"/>
      <c r="H36" s="8">
        <v>10590.82</v>
      </c>
      <c r="I36" s="3"/>
      <c r="J36" s="7">
        <f t="shared" si="5"/>
        <v>0.2118971328075997</v>
      </c>
      <c r="K36" s="3"/>
      <c r="L36" s="8">
        <f t="shared" si="6"/>
        <v>345.63999999999942</v>
      </c>
      <c r="M36" s="3"/>
      <c r="N36" s="7">
        <f t="shared" si="7"/>
        <v>3.2635811013689162E-2</v>
      </c>
      <c r="O36" s="12"/>
      <c r="P36" s="8">
        <v>89196.29</v>
      </c>
      <c r="Q36" s="3"/>
      <c r="R36" s="7">
        <f t="shared" si="8"/>
        <v>0.10896150625660515</v>
      </c>
      <c r="S36" s="3"/>
      <c r="T36" s="8">
        <v>87181.9</v>
      </c>
      <c r="U36" s="3"/>
      <c r="V36" s="7">
        <f t="shared" si="9"/>
        <v>0.26720913618330383</v>
      </c>
      <c r="W36" s="3"/>
      <c r="X36" s="8">
        <f t="shared" si="10"/>
        <v>2014.3899999999994</v>
      </c>
      <c r="Y36" s="3"/>
      <c r="Z36" s="7">
        <f t="shared" si="11"/>
        <v>2.3105598753869777E-2</v>
      </c>
    </row>
    <row r="37" spans="1:26" s="69" customFormat="1" ht="15" hidden="1" customHeight="1" outlineLevel="2" x14ac:dyDescent="0.3">
      <c r="A37" s="26"/>
      <c r="B37" s="12" t="str">
        <f>CONCATENATE("          ","6002"," - ","STAFF SALARIES")</f>
        <v xml:space="preserve">          6002 - STAFF SALARIES</v>
      </c>
      <c r="C37" s="12"/>
      <c r="D37" s="8">
        <v>20429.349999999999</v>
      </c>
      <c r="E37" s="3"/>
      <c r="F37" s="7">
        <f t="shared" si="4"/>
        <v>9.4485130305291487E-2</v>
      </c>
      <c r="G37" s="3"/>
      <c r="H37" s="8">
        <v>14166.5</v>
      </c>
      <c r="I37" s="3"/>
      <c r="J37" s="7">
        <f t="shared" si="5"/>
        <v>0.28343798987414204</v>
      </c>
      <c r="K37" s="3"/>
      <c r="L37" s="8">
        <f t="shared" si="6"/>
        <v>6262.8499999999985</v>
      </c>
      <c r="M37" s="3"/>
      <c r="N37" s="7">
        <f t="shared" si="7"/>
        <v>0.44208873045565233</v>
      </c>
      <c r="O37" s="12"/>
      <c r="P37" s="8">
        <v>180188.44</v>
      </c>
      <c r="Q37" s="3"/>
      <c r="R37" s="7">
        <f t="shared" si="8"/>
        <v>0.22011682136586536</v>
      </c>
      <c r="S37" s="3"/>
      <c r="T37" s="8">
        <v>121260.59</v>
      </c>
      <c r="U37" s="3"/>
      <c r="V37" s="7">
        <f t="shared" si="9"/>
        <v>0.37165899695897631</v>
      </c>
      <c r="W37" s="3"/>
      <c r="X37" s="8">
        <f t="shared" si="10"/>
        <v>58927.850000000006</v>
      </c>
      <c r="Y37" s="3"/>
      <c r="Z37" s="7">
        <f t="shared" si="11"/>
        <v>0.48596044271267363</v>
      </c>
    </row>
    <row r="38" spans="1:26" s="69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8">
        <v>15764.86</v>
      </c>
      <c r="E38" s="3"/>
      <c r="F38" s="7">
        <f t="shared" si="4"/>
        <v>7.2912004118813267E-2</v>
      </c>
      <c r="G38" s="3"/>
      <c r="H38" s="8">
        <v>284.3</v>
      </c>
      <c r="I38" s="3"/>
      <c r="J38" s="7">
        <f t="shared" si="5"/>
        <v>5.6881671917000387E-3</v>
      </c>
      <c r="K38" s="3"/>
      <c r="L38" s="8">
        <f t="shared" si="6"/>
        <v>15480.560000000001</v>
      </c>
      <c r="M38" s="3"/>
      <c r="N38" s="7">
        <f t="shared" si="7"/>
        <v>54.451494899753783</v>
      </c>
      <c r="O38" s="12"/>
      <c r="P38" s="8">
        <v>80730.16</v>
      </c>
      <c r="Q38" s="3"/>
      <c r="R38" s="7">
        <f t="shared" si="8"/>
        <v>9.8619346543861133E-2</v>
      </c>
      <c r="S38" s="3"/>
      <c r="T38" s="8">
        <v>21769.38</v>
      </c>
      <c r="U38" s="3"/>
      <c r="V38" s="7">
        <f t="shared" si="9"/>
        <v>6.6722303884706485E-2</v>
      </c>
      <c r="W38" s="3"/>
      <c r="X38" s="8">
        <f t="shared" si="10"/>
        <v>58960.78</v>
      </c>
      <c r="Y38" s="3"/>
      <c r="Z38" s="7">
        <f t="shared" si="11"/>
        <v>2.7084271577784942</v>
      </c>
    </row>
    <row r="39" spans="1:26" s="69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8">
        <v>15345.36</v>
      </c>
      <c r="E39" s="3"/>
      <c r="F39" s="7">
        <f t="shared" si="4"/>
        <v>7.0971829215398824E-2</v>
      </c>
      <c r="G39" s="3"/>
      <c r="H39" s="8"/>
      <c r="I39" s="3"/>
      <c r="J39" s="7">
        <f t="shared" si="5"/>
        <v>0</v>
      </c>
      <c r="K39" s="3"/>
      <c r="L39" s="8">
        <f t="shared" si="6"/>
        <v>15345.36</v>
      </c>
      <c r="M39" s="3"/>
      <c r="N39" s="7">
        <f t="shared" si="7"/>
        <v>0</v>
      </c>
      <c r="O39" s="12"/>
      <c r="P39" s="8">
        <v>81057.84</v>
      </c>
      <c r="Q39" s="3"/>
      <c r="R39" s="7">
        <f t="shared" si="8"/>
        <v>9.9019637927843185E-2</v>
      </c>
      <c r="S39" s="3"/>
      <c r="T39" s="8">
        <v>2736.71</v>
      </c>
      <c r="U39" s="3"/>
      <c r="V39" s="7">
        <f t="shared" si="9"/>
        <v>8.3879098194029906E-3</v>
      </c>
      <c r="W39" s="3"/>
      <c r="X39" s="8">
        <f t="shared" si="10"/>
        <v>78321.12999999999</v>
      </c>
      <c r="Y39" s="3"/>
      <c r="Z39" s="7">
        <f t="shared" si="11"/>
        <v>28.618717365011268</v>
      </c>
    </row>
    <row r="40" spans="1:26" s="69" customFormat="1" ht="15" hidden="1" customHeight="1" outlineLevel="2" x14ac:dyDescent="0.3">
      <c r="A40" s="26"/>
      <c r="B40" s="12" t="str">
        <f>CONCATENATE("          ","6007"," - ","STUDENT HOURLY")</f>
        <v xml:space="preserve">          6007 - STUDENT HOURLY</v>
      </c>
      <c r="C40" s="12"/>
      <c r="D40" s="8">
        <v>16481.919999999998</v>
      </c>
      <c r="E40" s="3"/>
      <c r="F40" s="7">
        <f t="shared" si="4"/>
        <v>7.6228385087209818E-2</v>
      </c>
      <c r="G40" s="3"/>
      <c r="H40" s="8">
        <v>325</v>
      </c>
      <c r="I40" s="3"/>
      <c r="J40" s="7">
        <f t="shared" si="5"/>
        <v>6.5024774439061284E-3</v>
      </c>
      <c r="K40" s="3"/>
      <c r="L40" s="8">
        <f t="shared" si="6"/>
        <v>16156.919999999998</v>
      </c>
      <c r="M40" s="3"/>
      <c r="N40" s="7">
        <f t="shared" si="7"/>
        <v>49.713599999999992</v>
      </c>
      <c r="O40" s="12"/>
      <c r="P40" s="8">
        <v>96976.56</v>
      </c>
      <c r="Q40" s="3"/>
      <c r="R40" s="7">
        <f t="shared" si="8"/>
        <v>0.1184658246344556</v>
      </c>
      <c r="S40" s="3"/>
      <c r="T40" s="8">
        <v>555.71</v>
      </c>
      <c r="U40" s="3"/>
      <c r="V40" s="7">
        <f t="shared" si="9"/>
        <v>1.7032295587550146E-3</v>
      </c>
      <c r="W40" s="3"/>
      <c r="X40" s="8">
        <f t="shared" si="10"/>
        <v>96420.849999999991</v>
      </c>
      <c r="Y40" s="3"/>
      <c r="Z40" s="7">
        <f t="shared" si="11"/>
        <v>173.50929441615227</v>
      </c>
    </row>
    <row r="41" spans="1:26" s="69" customFormat="1" ht="15" hidden="1" customHeight="1" outlineLevel="2" x14ac:dyDescent="0.3">
      <c r="A41" s="26"/>
      <c r="B41" s="12" t="str">
        <f>CONCATENATE("          ","6008"," - ","STUDENT HOURLY-FICA EXEMPT")</f>
        <v xml:space="preserve">          6008 - STUDENT HOURLY-FICA EXEMPT</v>
      </c>
      <c r="C41" s="12"/>
      <c r="D41" s="8">
        <v>1141.5999999999999</v>
      </c>
      <c r="E41" s="3"/>
      <c r="F41" s="7">
        <f t="shared" si="4"/>
        <v>5.2798657204718097E-3</v>
      </c>
      <c r="G41" s="3"/>
      <c r="H41" s="8"/>
      <c r="I41" s="3"/>
      <c r="J41" s="7">
        <f t="shared" si="5"/>
        <v>0</v>
      </c>
      <c r="K41" s="3"/>
      <c r="L41" s="8">
        <f t="shared" si="6"/>
        <v>1141.5999999999999</v>
      </c>
      <c r="M41" s="3"/>
      <c r="N41" s="7">
        <f t="shared" si="7"/>
        <v>0</v>
      </c>
      <c r="O41" s="12"/>
      <c r="P41" s="8">
        <v>1141.5999999999999</v>
      </c>
      <c r="Q41" s="3"/>
      <c r="R41" s="7">
        <f t="shared" si="8"/>
        <v>1.3945698362851239E-3</v>
      </c>
      <c r="S41" s="3"/>
      <c r="T41" s="8"/>
      <c r="U41" s="3"/>
      <c r="V41" s="7">
        <f t="shared" si="9"/>
        <v>0</v>
      </c>
      <c r="W41" s="3"/>
      <c r="X41" s="8">
        <f t="shared" si="10"/>
        <v>1141.5999999999999</v>
      </c>
      <c r="Y41" s="3"/>
      <c r="Z41" s="7">
        <f t="shared" si="11"/>
        <v>0</v>
      </c>
    </row>
    <row r="42" spans="1:26" s="68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153.55000000000001</v>
      </c>
      <c r="E42" s="2"/>
      <c r="F42" s="6">
        <f t="shared" si="4"/>
        <v>7.1016413925932597E-4</v>
      </c>
      <c r="G42" s="2"/>
      <c r="H42" s="2">
        <f>SUM(OSRRefH22_2x_0)</f>
        <v>78.48</v>
      </c>
      <c r="I42" s="2"/>
      <c r="J42" s="6">
        <f t="shared" si="5"/>
        <v>1.5701982455315476E-3</v>
      </c>
      <c r="K42" s="2"/>
      <c r="L42" s="2">
        <f t="shared" si="6"/>
        <v>75.070000000000007</v>
      </c>
      <c r="M42" s="2"/>
      <c r="N42" s="6">
        <f t="shared" si="7"/>
        <v>0.9565494393476045</v>
      </c>
      <c r="O42" s="14"/>
      <c r="P42" s="2">
        <f>SUM(OSRRefP22_2x_0)</f>
        <v>1328.84</v>
      </c>
      <c r="Q42" s="2"/>
      <c r="R42" s="6">
        <f t="shared" si="8"/>
        <v>1.6233007894613911E-3</v>
      </c>
      <c r="S42" s="2"/>
      <c r="T42" s="2">
        <f>SUM(OSRRefT22_2x_0)</f>
        <v>217.83</v>
      </c>
      <c r="U42" s="2"/>
      <c r="V42" s="6">
        <f t="shared" si="9"/>
        <v>6.6764048655522628E-4</v>
      </c>
      <c r="W42" s="2"/>
      <c r="X42" s="2">
        <f t="shared" si="10"/>
        <v>1111.01</v>
      </c>
      <c r="Y42" s="2"/>
      <c r="Z42" s="6">
        <f t="shared" si="11"/>
        <v>5.100353486663912</v>
      </c>
    </row>
    <row r="43" spans="1:26" s="69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>
        <v>153.55000000000001</v>
      </c>
      <c r="E43" s="3"/>
      <c r="F43" s="7">
        <f t="shared" si="4"/>
        <v>7.1016413925932597E-4</v>
      </c>
      <c r="G43" s="3"/>
      <c r="H43" s="8">
        <v>78.48</v>
      </c>
      <c r="I43" s="3"/>
      <c r="J43" s="7">
        <f t="shared" si="5"/>
        <v>1.5701982455315476E-3</v>
      </c>
      <c r="K43" s="3"/>
      <c r="L43" s="8">
        <f t="shared" si="6"/>
        <v>75.070000000000007</v>
      </c>
      <c r="M43" s="3"/>
      <c r="N43" s="7">
        <f t="shared" si="7"/>
        <v>0.9565494393476045</v>
      </c>
      <c r="O43" s="12"/>
      <c r="P43" s="8">
        <v>1328.84</v>
      </c>
      <c r="Q43" s="3"/>
      <c r="R43" s="7">
        <f t="shared" si="8"/>
        <v>1.6233007894613911E-3</v>
      </c>
      <c r="S43" s="3"/>
      <c r="T43" s="8">
        <v>217.83</v>
      </c>
      <c r="U43" s="3"/>
      <c r="V43" s="7">
        <f t="shared" si="9"/>
        <v>6.6764048655522628E-4</v>
      </c>
      <c r="W43" s="3"/>
      <c r="X43" s="8">
        <f t="shared" si="10"/>
        <v>1111.01</v>
      </c>
      <c r="Y43" s="3"/>
      <c r="Z43" s="7">
        <f t="shared" si="11"/>
        <v>5.100353486663912</v>
      </c>
    </row>
    <row r="44" spans="1:26" s="68" customFormat="1" ht="15" customHeight="1" outlineLevel="1" collapsed="1" x14ac:dyDescent="0.3">
      <c r="A44" s="25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0.56000000000000005</v>
      </c>
      <c r="E44" s="2"/>
      <c r="F44" s="6">
        <f t="shared" si="4"/>
        <v>2.5899831845341747E-6</v>
      </c>
      <c r="G44" s="2"/>
      <c r="H44" s="2">
        <f>SUM(OSRRefH22_3x_0)</f>
        <v>0</v>
      </c>
      <c r="I44" s="2"/>
      <c r="J44" s="6">
        <f t="shared" si="5"/>
        <v>0</v>
      </c>
      <c r="K44" s="2"/>
      <c r="L44" s="2">
        <f t="shared" si="6"/>
        <v>0.56000000000000005</v>
      </c>
      <c r="M44" s="2"/>
      <c r="N44" s="6">
        <f t="shared" si="7"/>
        <v>0</v>
      </c>
      <c r="O44" s="14"/>
      <c r="P44" s="2">
        <f>SUM(OSRRefP22_3x_0)</f>
        <v>-81.39</v>
      </c>
      <c r="Q44" s="2"/>
      <c r="R44" s="6">
        <f t="shared" si="8"/>
        <v>-9.9425402045590617E-5</v>
      </c>
      <c r="S44" s="2"/>
      <c r="T44" s="2">
        <f>SUM(OSRRefT22_3x_0)</f>
        <v>8.7899999999999991</v>
      </c>
      <c r="U44" s="2"/>
      <c r="V44" s="6">
        <f t="shared" si="9"/>
        <v>2.6941008478264879E-5</v>
      </c>
      <c r="W44" s="2"/>
      <c r="X44" s="2">
        <f t="shared" si="10"/>
        <v>-90.18</v>
      </c>
      <c r="Y44" s="2"/>
      <c r="Z44" s="6">
        <f t="shared" si="11"/>
        <v>-10.259385665529011</v>
      </c>
    </row>
    <row r="45" spans="1:26" s="69" customFormat="1" ht="15" hidden="1" customHeight="1" outlineLevel="2" x14ac:dyDescent="0.3">
      <c r="A45" s="26"/>
      <c r="B45" s="12" t="str">
        <f>CONCATENATE("          ","6272"," - ","CASH (OVER/SHORT)")</f>
        <v xml:space="preserve">          6272 - CASH (OVER/SHORT)</v>
      </c>
      <c r="C45" s="12"/>
      <c r="D45" s="8">
        <v>0.56000000000000005</v>
      </c>
      <c r="E45" s="3"/>
      <c r="F45" s="7">
        <f t="shared" si="4"/>
        <v>2.5899831845341747E-6</v>
      </c>
      <c r="G45" s="3"/>
      <c r="H45" s="8"/>
      <c r="I45" s="3"/>
      <c r="J45" s="7">
        <f t="shared" si="5"/>
        <v>0</v>
      </c>
      <c r="K45" s="3"/>
      <c r="L45" s="8">
        <f t="shared" si="6"/>
        <v>0.56000000000000005</v>
      </c>
      <c r="M45" s="3"/>
      <c r="N45" s="7">
        <f t="shared" si="7"/>
        <v>0</v>
      </c>
      <c r="O45" s="12"/>
      <c r="P45" s="8">
        <v>-81.39</v>
      </c>
      <c r="Q45" s="3"/>
      <c r="R45" s="7">
        <f t="shared" si="8"/>
        <v>-9.9425402045590617E-5</v>
      </c>
      <c r="S45" s="3"/>
      <c r="T45" s="8">
        <v>8.7899999999999991</v>
      </c>
      <c r="U45" s="3"/>
      <c r="V45" s="7">
        <f t="shared" si="9"/>
        <v>2.6941008478264879E-5</v>
      </c>
      <c r="W45" s="3"/>
      <c r="X45" s="8">
        <f t="shared" si="10"/>
        <v>-90.18</v>
      </c>
      <c r="Y45" s="3"/>
      <c r="Z45" s="7">
        <f t="shared" si="11"/>
        <v>-10.259385665529011</v>
      </c>
    </row>
    <row r="46" spans="1:26" s="68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6237.34</v>
      </c>
      <c r="E46" s="2"/>
      <c r="F46" s="6">
        <f t="shared" si="4"/>
        <v>2.8847510207539978E-2</v>
      </c>
      <c r="G46" s="2"/>
      <c r="H46" s="2">
        <f>SUM(OSRRefH22_4x_0)</f>
        <v>781.86</v>
      </c>
      <c r="I46" s="2"/>
      <c r="J46" s="6">
        <f t="shared" si="5"/>
        <v>1.5643160043976756E-2</v>
      </c>
      <c r="K46" s="2"/>
      <c r="L46" s="2">
        <f t="shared" si="6"/>
        <v>5455.4800000000005</v>
      </c>
      <c r="M46" s="2"/>
      <c r="N46" s="6">
        <f t="shared" si="7"/>
        <v>6.9775663162202957</v>
      </c>
      <c r="O46" s="14"/>
      <c r="P46" s="2">
        <f>SUM(OSRRefP22_4x_0)</f>
        <v>29333.66</v>
      </c>
      <c r="Q46" s="2"/>
      <c r="R46" s="6">
        <f t="shared" si="8"/>
        <v>3.5833774898251132E-2</v>
      </c>
      <c r="S46" s="2"/>
      <c r="T46" s="2">
        <f>SUM(OSRRefT22_4x_0)</f>
        <v>4708.3900000000003</v>
      </c>
      <c r="U46" s="2"/>
      <c r="V46" s="6">
        <f t="shared" si="9"/>
        <v>1.4431032412852969E-2</v>
      </c>
      <c r="W46" s="2"/>
      <c r="X46" s="2">
        <f t="shared" si="10"/>
        <v>24625.27</v>
      </c>
      <c r="Y46" s="2"/>
      <c r="Z46" s="6">
        <f t="shared" si="11"/>
        <v>5.2300828945775519</v>
      </c>
    </row>
    <row r="47" spans="1:26" s="69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8">
        <v>6237.34</v>
      </c>
      <c r="E47" s="3"/>
      <c r="F47" s="7">
        <f t="shared" si="4"/>
        <v>2.8847510207539978E-2</v>
      </c>
      <c r="G47" s="3"/>
      <c r="H47" s="8">
        <v>781.86</v>
      </c>
      <c r="I47" s="3"/>
      <c r="J47" s="7">
        <f t="shared" si="5"/>
        <v>1.5643160043976756E-2</v>
      </c>
      <c r="K47" s="3"/>
      <c r="L47" s="8">
        <f t="shared" si="6"/>
        <v>5455.4800000000005</v>
      </c>
      <c r="M47" s="3"/>
      <c r="N47" s="7">
        <f t="shared" si="7"/>
        <v>6.9775663162202957</v>
      </c>
      <c r="O47" s="12"/>
      <c r="P47" s="8">
        <v>29333.66</v>
      </c>
      <c r="Q47" s="3"/>
      <c r="R47" s="7">
        <f t="shared" si="8"/>
        <v>3.5833774898251132E-2</v>
      </c>
      <c r="S47" s="3"/>
      <c r="T47" s="8">
        <v>4708.3900000000003</v>
      </c>
      <c r="U47" s="3"/>
      <c r="V47" s="7">
        <f t="shared" si="9"/>
        <v>1.4431032412852969E-2</v>
      </c>
      <c r="W47" s="3"/>
      <c r="X47" s="8">
        <f t="shared" si="10"/>
        <v>24625.27</v>
      </c>
      <c r="Y47" s="3"/>
      <c r="Z47" s="7">
        <f t="shared" si="11"/>
        <v>5.2300828945775519</v>
      </c>
    </row>
    <row r="48" spans="1:26" s="68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32782.04</v>
      </c>
      <c r="E48" s="2"/>
      <c r="F48" s="6">
        <f t="shared" si="4"/>
        <v>0.15161595063344052</v>
      </c>
      <c r="G48" s="2"/>
      <c r="H48" s="2">
        <f>SUM(OSRRefH22_5x_0)</f>
        <v>36720.76</v>
      </c>
      <c r="I48" s="2"/>
      <c r="J48" s="6">
        <f t="shared" si="5"/>
        <v>0.73469511884027827</v>
      </c>
      <c r="K48" s="2"/>
      <c r="L48" s="2">
        <f t="shared" si="6"/>
        <v>-3938.7200000000012</v>
      </c>
      <c r="M48" s="2"/>
      <c r="N48" s="6">
        <f t="shared" si="7"/>
        <v>-0.10726139655061608</v>
      </c>
      <c r="O48" s="14"/>
      <c r="P48" s="2">
        <f>SUM(OSRRefP22_5x_0)</f>
        <v>262344.45999999996</v>
      </c>
      <c r="Q48" s="2"/>
      <c r="R48" s="6">
        <f t="shared" si="8"/>
        <v>0.32047798758979434</v>
      </c>
      <c r="S48" s="2"/>
      <c r="T48" s="2">
        <f>SUM(OSRRefT22_5x_0)</f>
        <v>296589.59999999998</v>
      </c>
      <c r="U48" s="2"/>
      <c r="V48" s="6">
        <f t="shared" si="9"/>
        <v>0.90903560047385545</v>
      </c>
      <c r="W48" s="2"/>
      <c r="X48" s="2">
        <f t="shared" si="10"/>
        <v>-34245.140000000014</v>
      </c>
      <c r="Y48" s="2"/>
      <c r="Z48" s="6">
        <f t="shared" si="11"/>
        <v>-0.1154630506261852</v>
      </c>
    </row>
    <row r="49" spans="1:26" s="69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8">
        <v>23539.4</v>
      </c>
      <c r="E49" s="3"/>
      <c r="F49" s="7">
        <f t="shared" si="4"/>
        <v>0.10886901816789955</v>
      </c>
      <c r="G49" s="3"/>
      <c r="H49" s="8">
        <v>23583.49</v>
      </c>
      <c r="I49" s="3"/>
      <c r="J49" s="7">
        <f t="shared" si="5"/>
        <v>0.47184957468795619</v>
      </c>
      <c r="K49" s="3"/>
      <c r="L49" s="8">
        <f t="shared" si="6"/>
        <v>-44.090000000000146</v>
      </c>
      <c r="M49" s="3"/>
      <c r="N49" s="7">
        <f t="shared" si="7"/>
        <v>-1.8695282165616769E-3</v>
      </c>
      <c r="O49" s="12"/>
      <c r="P49" s="8">
        <v>188403.34</v>
      </c>
      <c r="Q49" s="3"/>
      <c r="R49" s="7">
        <f t="shared" si="8"/>
        <v>0.23015208043042271</v>
      </c>
      <c r="S49" s="3"/>
      <c r="T49" s="8">
        <v>189452.11</v>
      </c>
      <c r="U49" s="3"/>
      <c r="V49" s="7">
        <f t="shared" si="9"/>
        <v>0.58066335628386467</v>
      </c>
      <c r="W49" s="3"/>
      <c r="X49" s="8">
        <f t="shared" si="10"/>
        <v>-1048.7699999999895</v>
      </c>
      <c r="Y49" s="3"/>
      <c r="Z49" s="7">
        <f t="shared" si="11"/>
        <v>-5.53580532832276E-3</v>
      </c>
    </row>
    <row r="50" spans="1:26" s="69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9242.64</v>
      </c>
      <c r="E50" s="3"/>
      <c r="F50" s="7">
        <f t="shared" si="4"/>
        <v>4.2746932465540968E-2</v>
      </c>
      <c r="G50" s="3"/>
      <c r="H50" s="8">
        <v>13137.27</v>
      </c>
      <c r="I50" s="3"/>
      <c r="J50" s="7">
        <f t="shared" si="5"/>
        <v>0.26284554415232209</v>
      </c>
      <c r="K50" s="3"/>
      <c r="L50" s="8">
        <f t="shared" si="6"/>
        <v>-3894.630000000001</v>
      </c>
      <c r="M50" s="3"/>
      <c r="N50" s="7">
        <f t="shared" si="7"/>
        <v>-0.2964565697439423</v>
      </c>
      <c r="O50" s="12"/>
      <c r="P50" s="8">
        <v>73941.119999999995</v>
      </c>
      <c r="Q50" s="3"/>
      <c r="R50" s="7">
        <f t="shared" si="8"/>
        <v>9.0325907159371679E-2</v>
      </c>
      <c r="S50" s="3"/>
      <c r="T50" s="8">
        <v>107137.49</v>
      </c>
      <c r="U50" s="3"/>
      <c r="V50" s="7">
        <f t="shared" si="9"/>
        <v>0.32837224418999078</v>
      </c>
      <c r="W50" s="3"/>
      <c r="X50" s="8">
        <f t="shared" si="10"/>
        <v>-33196.37000000001</v>
      </c>
      <c r="Y50" s="3"/>
      <c r="Z50" s="7">
        <f t="shared" si="11"/>
        <v>-0.30984830800124225</v>
      </c>
    </row>
    <row r="51" spans="1:26" s="68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SUM(OSRRefD22_6x_0)</f>
        <v>0</v>
      </c>
      <c r="E51" s="2"/>
      <c r="F51" s="6">
        <f t="shared" si="4"/>
        <v>0</v>
      </c>
      <c r="G51" s="2"/>
      <c r="H51" s="2">
        <f>SUM(OSRRefH22_6x_0)</f>
        <v>0</v>
      </c>
      <c r="I51" s="2"/>
      <c r="J51" s="6">
        <f t="shared" si="5"/>
        <v>0</v>
      </c>
      <c r="K51" s="2"/>
      <c r="L51" s="2">
        <f t="shared" si="6"/>
        <v>0</v>
      </c>
      <c r="M51" s="2"/>
      <c r="N51" s="6">
        <f t="shared" si="7"/>
        <v>0</v>
      </c>
      <c r="O51" s="14"/>
      <c r="P51" s="2">
        <f>SUM(OSRRefP22_6x_0)</f>
        <v>314.87</v>
      </c>
      <c r="Q51" s="2"/>
      <c r="R51" s="6">
        <f t="shared" si="8"/>
        <v>3.8464278587166872E-4</v>
      </c>
      <c r="S51" s="2"/>
      <c r="T51" s="2">
        <f>SUM(OSRRefT22_6x_0)</f>
        <v>10</v>
      </c>
      <c r="U51" s="2"/>
      <c r="V51" s="6">
        <f t="shared" si="9"/>
        <v>3.0649611465602826E-5</v>
      </c>
      <c r="W51" s="2"/>
      <c r="X51" s="2">
        <f t="shared" si="10"/>
        <v>304.87</v>
      </c>
      <c r="Y51" s="2"/>
      <c r="Z51" s="6">
        <f t="shared" si="11"/>
        <v>30.487000000000002</v>
      </c>
    </row>
    <row r="52" spans="1:26" s="69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4"/>
        <v>0</v>
      </c>
      <c r="G52" s="3"/>
      <c r="H52" s="8"/>
      <c r="I52" s="3"/>
      <c r="J52" s="7">
        <f t="shared" si="5"/>
        <v>0</v>
      </c>
      <c r="K52" s="3"/>
      <c r="L52" s="8">
        <f t="shared" si="6"/>
        <v>0</v>
      </c>
      <c r="M52" s="3"/>
      <c r="N52" s="7">
        <f t="shared" si="7"/>
        <v>0</v>
      </c>
      <c r="O52" s="12"/>
      <c r="P52" s="8">
        <v>314.87</v>
      </c>
      <c r="Q52" s="3"/>
      <c r="R52" s="7">
        <f t="shared" si="8"/>
        <v>3.8464278587166872E-4</v>
      </c>
      <c r="S52" s="3"/>
      <c r="T52" s="8">
        <v>10</v>
      </c>
      <c r="U52" s="3"/>
      <c r="V52" s="7">
        <f t="shared" si="9"/>
        <v>3.0649611465602826E-5</v>
      </c>
      <c r="W52" s="3"/>
      <c r="X52" s="8">
        <f t="shared" si="10"/>
        <v>304.87</v>
      </c>
      <c r="Y52" s="3"/>
      <c r="Z52" s="7">
        <f t="shared" si="11"/>
        <v>30.487000000000002</v>
      </c>
    </row>
    <row r="53" spans="1:26" s="68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SUM(OSRRefD22_7x_0)</f>
        <v>1064.47</v>
      </c>
      <c r="E53" s="2"/>
      <c r="F53" s="6">
        <f t="shared" si="4"/>
        <v>4.923141786501951E-3</v>
      </c>
      <c r="G53" s="2"/>
      <c r="H53" s="2">
        <f>SUM(OSRRefH22_7x_0)</f>
        <v>255.55</v>
      </c>
      <c r="I53" s="2"/>
      <c r="J53" s="6">
        <f t="shared" si="5"/>
        <v>5.1129480332006497E-3</v>
      </c>
      <c r="K53" s="2"/>
      <c r="L53" s="2">
        <f t="shared" si="6"/>
        <v>808.92000000000007</v>
      </c>
      <c r="M53" s="2"/>
      <c r="N53" s="6">
        <f t="shared" si="7"/>
        <v>3.165407943650949</v>
      </c>
      <c r="O53" s="14"/>
      <c r="P53" s="2">
        <f>SUM(OSRRefP22_7x_0)</f>
        <v>7390.66</v>
      </c>
      <c r="Q53" s="2"/>
      <c r="R53" s="6">
        <f t="shared" si="8"/>
        <v>9.0283737791161649E-3</v>
      </c>
      <c r="S53" s="2"/>
      <c r="T53" s="2">
        <f>SUM(OSRRefT22_7x_0)</f>
        <v>4720.43</v>
      </c>
      <c r="U53" s="2"/>
      <c r="V53" s="6">
        <f t="shared" si="9"/>
        <v>1.4467934545057555E-2</v>
      </c>
      <c r="W53" s="2"/>
      <c r="X53" s="2">
        <f t="shared" si="10"/>
        <v>2670.2299999999996</v>
      </c>
      <c r="Y53" s="2"/>
      <c r="Z53" s="6">
        <f t="shared" si="11"/>
        <v>0.56567516094932013</v>
      </c>
    </row>
    <row r="54" spans="1:26" s="69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1064.47</v>
      </c>
      <c r="E54" s="3"/>
      <c r="F54" s="7">
        <f t="shared" si="4"/>
        <v>4.923141786501951E-3</v>
      </c>
      <c r="G54" s="3"/>
      <c r="H54" s="8">
        <v>255.55</v>
      </c>
      <c r="I54" s="3"/>
      <c r="J54" s="7">
        <f t="shared" si="5"/>
        <v>5.1129480332006497E-3</v>
      </c>
      <c r="K54" s="3"/>
      <c r="L54" s="8">
        <f t="shared" si="6"/>
        <v>808.92000000000007</v>
      </c>
      <c r="M54" s="3"/>
      <c r="N54" s="7">
        <f t="shared" si="7"/>
        <v>3.165407943650949</v>
      </c>
      <c r="O54" s="12"/>
      <c r="P54" s="8">
        <v>7390.66</v>
      </c>
      <c r="Q54" s="3"/>
      <c r="R54" s="7">
        <f t="shared" si="8"/>
        <v>9.0283737791161649E-3</v>
      </c>
      <c r="S54" s="3"/>
      <c r="T54" s="8">
        <v>4720.43</v>
      </c>
      <c r="U54" s="3"/>
      <c r="V54" s="7">
        <f t="shared" si="9"/>
        <v>1.4467934545057555E-2</v>
      </c>
      <c r="W54" s="3"/>
      <c r="X54" s="8">
        <f t="shared" si="10"/>
        <v>2670.2299999999996</v>
      </c>
      <c r="Y54" s="3"/>
      <c r="Z54" s="7">
        <f t="shared" si="11"/>
        <v>0.56567516094932013</v>
      </c>
    </row>
    <row r="55" spans="1:26" s="68" customFormat="1" ht="15" customHeight="1" outlineLevel="1" collapsed="1" x14ac:dyDescent="0.3">
      <c r="A55" s="25"/>
      <c r="B55" s="14" t="str">
        <f>CONCATENATE("     ","Freight out/Postage                               ")</f>
        <v xml:space="preserve">     Freight out/Postage                               </v>
      </c>
      <c r="C55" s="14"/>
      <c r="D55" s="2">
        <f>SUM(OSRRefD22_8x_0)</f>
        <v>0</v>
      </c>
      <c r="E55" s="2"/>
      <c r="F55" s="6">
        <f t="shared" si="4"/>
        <v>0</v>
      </c>
      <c r="G55" s="2"/>
      <c r="H55" s="2">
        <f>SUM(OSRRefH22_8x_0)</f>
        <v>0</v>
      </c>
      <c r="I55" s="2"/>
      <c r="J55" s="6">
        <f t="shared" si="5"/>
        <v>0</v>
      </c>
      <c r="K55" s="2"/>
      <c r="L55" s="2">
        <f t="shared" si="6"/>
        <v>0</v>
      </c>
      <c r="M55" s="2"/>
      <c r="N55" s="6">
        <f t="shared" si="7"/>
        <v>0</v>
      </c>
      <c r="O55" s="14"/>
      <c r="P55" s="2">
        <f>SUM(OSRRefP22_8x_0)</f>
        <v>0</v>
      </c>
      <c r="Q55" s="2"/>
      <c r="R55" s="6">
        <f t="shared" si="8"/>
        <v>0</v>
      </c>
      <c r="S55" s="2"/>
      <c r="T55" s="2">
        <f>SUM(OSRRefT22_8x_0)</f>
        <v>-5.41</v>
      </c>
      <c r="U55" s="2"/>
      <c r="V55" s="6">
        <f t="shared" si="9"/>
        <v>-1.6581439802891126E-5</v>
      </c>
      <c r="W55" s="2"/>
      <c r="X55" s="2">
        <f t="shared" si="10"/>
        <v>5.41</v>
      </c>
      <c r="Y55" s="2"/>
      <c r="Z55" s="6">
        <f t="shared" si="11"/>
        <v>-1</v>
      </c>
    </row>
    <row r="56" spans="1:26" s="69" customFormat="1" ht="15" hidden="1" customHeight="1" outlineLevel="2" x14ac:dyDescent="0.3">
      <c r="A56" s="26"/>
      <c r="B56" s="12" t="str">
        <f>CONCATENATE("          ","6307"," - ","POSTAGE")</f>
        <v xml:space="preserve">          6307 - POSTAGE</v>
      </c>
      <c r="C56" s="12"/>
      <c r="D56" s="8"/>
      <c r="E56" s="3"/>
      <c r="F56" s="7">
        <f t="shared" si="4"/>
        <v>0</v>
      </c>
      <c r="G56" s="3"/>
      <c r="H56" s="8"/>
      <c r="I56" s="3"/>
      <c r="J56" s="7">
        <f t="shared" si="5"/>
        <v>0</v>
      </c>
      <c r="K56" s="3"/>
      <c r="L56" s="8">
        <f t="shared" si="6"/>
        <v>0</v>
      </c>
      <c r="M56" s="3"/>
      <c r="N56" s="7">
        <f t="shared" si="7"/>
        <v>0</v>
      </c>
      <c r="O56" s="12"/>
      <c r="P56" s="8"/>
      <c r="Q56" s="3"/>
      <c r="R56" s="7">
        <f t="shared" si="8"/>
        <v>0</v>
      </c>
      <c r="S56" s="3"/>
      <c r="T56" s="8">
        <v>-5.41</v>
      </c>
      <c r="U56" s="3"/>
      <c r="V56" s="7">
        <f t="shared" si="9"/>
        <v>-1.6581439802891126E-5</v>
      </c>
      <c r="W56" s="3"/>
      <c r="X56" s="8">
        <f t="shared" si="10"/>
        <v>5.41</v>
      </c>
      <c r="Y56" s="3"/>
      <c r="Z56" s="7">
        <f t="shared" si="11"/>
        <v>-1</v>
      </c>
    </row>
    <row r="57" spans="1:26" s="68" customFormat="1" ht="15" customHeight="1" outlineLevel="1" collapsed="1" x14ac:dyDescent="0.3">
      <c r="A57" s="25"/>
      <c r="B57" s="14" t="str">
        <f>CONCATENATE("     ","General                                           ")</f>
        <v xml:space="preserve">     General                                           </v>
      </c>
      <c r="C57" s="14"/>
      <c r="D57" s="2">
        <f>SUM(OSRRefD22_9x_0)</f>
        <v>2435</v>
      </c>
      <c r="E57" s="2"/>
      <c r="F57" s="6">
        <f t="shared" ref="F57:F88" si="12">IF(D$12=0,0,D57/D$12)</f>
        <v>1.1261801882751277E-2</v>
      </c>
      <c r="G57" s="2"/>
      <c r="H57" s="2">
        <f>SUM(OSRRefH22_9x_0)</f>
        <v>1893.03</v>
      </c>
      <c r="I57" s="2"/>
      <c r="J57" s="6">
        <f t="shared" ref="J57:J88" si="13">IF(H$12=0,0,H57/H$12)</f>
        <v>3.7875030386577288E-2</v>
      </c>
      <c r="K57" s="2"/>
      <c r="L57" s="2">
        <f t="shared" ref="L57:L88" si="14">+D57-H57</f>
        <v>541.97</v>
      </c>
      <c r="M57" s="2"/>
      <c r="N57" s="6">
        <f t="shared" ref="N57:N88" si="15">IF(H57=0,0,L57/H57)</f>
        <v>0.28629762866938191</v>
      </c>
      <c r="O57" s="14"/>
      <c r="P57" s="2">
        <f>SUM(OSRRefP22_9x_0)</f>
        <v>18461.439999999999</v>
      </c>
      <c r="Q57" s="2"/>
      <c r="R57" s="6">
        <f t="shared" ref="R57:R88" si="16">IF(P$12=0,0,P57/P$12)</f>
        <v>2.2552354028020007E-2</v>
      </c>
      <c r="S57" s="2"/>
      <c r="T57" s="2">
        <f>SUM(OSRRefT22_9x_0)</f>
        <v>6970.48</v>
      </c>
      <c r="U57" s="2"/>
      <c r="V57" s="6">
        <f t="shared" ref="V57:V88" si="17">IF(T$12=0,0,T57/T$12)</f>
        <v>2.1364250372875516E-2</v>
      </c>
      <c r="W57" s="2"/>
      <c r="X57" s="2">
        <f t="shared" ref="X57:X88" si="18">+P57-T57</f>
        <v>11490.96</v>
      </c>
      <c r="Y57" s="2"/>
      <c r="Z57" s="6">
        <f t="shared" ref="Z57:Z88" si="19">IF(T57=0,0,X57/T57)</f>
        <v>1.6485177491363578</v>
      </c>
    </row>
    <row r="58" spans="1:26" s="69" customFormat="1" ht="15" hidden="1" customHeight="1" outlineLevel="2" x14ac:dyDescent="0.3">
      <c r="A58" s="26"/>
      <c r="B58" s="12" t="str">
        <f>CONCATENATE("          ","6279"," - ","GENERAL EXPENSE")</f>
        <v xml:space="preserve">          6279 - GENERAL EXPENSE</v>
      </c>
      <c r="C58" s="12"/>
      <c r="D58" s="8">
        <v>2435</v>
      </c>
      <c r="E58" s="3"/>
      <c r="F58" s="7">
        <f t="shared" si="12"/>
        <v>1.1261801882751277E-2</v>
      </c>
      <c r="G58" s="3"/>
      <c r="H58" s="8">
        <v>1893.03</v>
      </c>
      <c r="I58" s="3"/>
      <c r="J58" s="7">
        <f t="shared" si="13"/>
        <v>3.7875030386577288E-2</v>
      </c>
      <c r="K58" s="3"/>
      <c r="L58" s="8">
        <f t="shared" si="14"/>
        <v>541.97</v>
      </c>
      <c r="M58" s="3"/>
      <c r="N58" s="7">
        <f t="shared" si="15"/>
        <v>0.28629762866938191</v>
      </c>
      <c r="O58" s="12"/>
      <c r="P58" s="8">
        <v>18461.439999999999</v>
      </c>
      <c r="Q58" s="3"/>
      <c r="R58" s="7">
        <f t="shared" si="16"/>
        <v>2.2552354028020007E-2</v>
      </c>
      <c r="S58" s="3"/>
      <c r="T58" s="8">
        <v>6970.48</v>
      </c>
      <c r="U58" s="3"/>
      <c r="V58" s="7">
        <f t="shared" si="17"/>
        <v>2.1364250372875516E-2</v>
      </c>
      <c r="W58" s="3"/>
      <c r="X58" s="8">
        <f t="shared" si="18"/>
        <v>11490.96</v>
      </c>
      <c r="Y58" s="3"/>
      <c r="Z58" s="7">
        <f t="shared" si="19"/>
        <v>1.6485177491363578</v>
      </c>
    </row>
    <row r="59" spans="1:26" s="68" customFormat="1" ht="15" customHeight="1" outlineLevel="1" collapsed="1" x14ac:dyDescent="0.3">
      <c r="A59" s="25"/>
      <c r="B59" s="14" t="str">
        <f>CONCATENATE("     ","Insurance                                         ")</f>
        <v xml:space="preserve">     Insurance                                         </v>
      </c>
      <c r="C59" s="14"/>
      <c r="D59" s="2">
        <f>SUM(OSRRefD22_10x_0)</f>
        <v>5756.21</v>
      </c>
      <c r="E59" s="2"/>
      <c r="F59" s="6">
        <f t="shared" si="12"/>
        <v>2.6622298404727608E-2</v>
      </c>
      <c r="G59" s="2"/>
      <c r="H59" s="2">
        <f>SUM(OSRRefH22_10x_0)</f>
        <v>4240.13</v>
      </c>
      <c r="I59" s="2"/>
      <c r="J59" s="6">
        <f t="shared" si="13"/>
        <v>8.4834922105322133E-2</v>
      </c>
      <c r="K59" s="2"/>
      <c r="L59" s="2">
        <f t="shared" si="14"/>
        <v>1516.08</v>
      </c>
      <c r="M59" s="2"/>
      <c r="N59" s="6">
        <f t="shared" si="15"/>
        <v>0.35755507496232425</v>
      </c>
      <c r="O59" s="14"/>
      <c r="P59" s="2">
        <f>SUM(OSRRefP22_10x_0)</f>
        <v>52932.68</v>
      </c>
      <c r="Q59" s="2"/>
      <c r="R59" s="6">
        <f t="shared" si="16"/>
        <v>6.4662157394650366E-2</v>
      </c>
      <c r="S59" s="2"/>
      <c r="T59" s="2">
        <f>SUM(OSRRefT22_10x_0)</f>
        <v>40033.040000000001</v>
      </c>
      <c r="U59" s="2"/>
      <c r="V59" s="6">
        <f t="shared" si="17"/>
        <v>0.12269971217869365</v>
      </c>
      <c r="W59" s="2"/>
      <c r="X59" s="2">
        <f t="shared" si="18"/>
        <v>12899.64</v>
      </c>
      <c r="Y59" s="2"/>
      <c r="Z59" s="6">
        <f t="shared" si="19"/>
        <v>0.32222484228027648</v>
      </c>
    </row>
    <row r="60" spans="1:26" s="69" customFormat="1" ht="15" hidden="1" customHeight="1" outlineLevel="2" x14ac:dyDescent="0.3">
      <c r="A60" s="26"/>
      <c r="B60" s="12" t="str">
        <f>CONCATENATE("          ","6314"," - ","LIABILITY INSURANCE")</f>
        <v xml:space="preserve">          6314 - LIABILITY INSURANCE</v>
      </c>
      <c r="C60" s="12"/>
      <c r="D60" s="8">
        <v>5756.21</v>
      </c>
      <c r="E60" s="3"/>
      <c r="F60" s="7">
        <f t="shared" si="12"/>
        <v>2.6622298404727608E-2</v>
      </c>
      <c r="G60" s="3"/>
      <c r="H60" s="8">
        <v>4240.13</v>
      </c>
      <c r="I60" s="3"/>
      <c r="J60" s="7">
        <f t="shared" si="13"/>
        <v>8.4834922105322133E-2</v>
      </c>
      <c r="K60" s="3"/>
      <c r="L60" s="8">
        <f t="shared" si="14"/>
        <v>1516.08</v>
      </c>
      <c r="M60" s="3"/>
      <c r="N60" s="7">
        <f t="shared" si="15"/>
        <v>0.35755507496232425</v>
      </c>
      <c r="O60" s="12"/>
      <c r="P60" s="8">
        <v>52932.68</v>
      </c>
      <c r="Q60" s="3"/>
      <c r="R60" s="7">
        <f t="shared" si="16"/>
        <v>6.4662157394650366E-2</v>
      </c>
      <c r="S60" s="3"/>
      <c r="T60" s="8">
        <v>40033.040000000001</v>
      </c>
      <c r="U60" s="3"/>
      <c r="V60" s="7">
        <f t="shared" si="17"/>
        <v>0.12269971217869365</v>
      </c>
      <c r="W60" s="3"/>
      <c r="X60" s="8">
        <f t="shared" si="18"/>
        <v>12899.64</v>
      </c>
      <c r="Y60" s="3"/>
      <c r="Z60" s="7">
        <f t="shared" si="19"/>
        <v>0.32222484228027648</v>
      </c>
    </row>
    <row r="61" spans="1:26" s="68" customFormat="1" ht="15" customHeight="1" outlineLevel="1" collapsed="1" x14ac:dyDescent="0.3">
      <c r="A61" s="25"/>
      <c r="B61" s="14" t="str">
        <f>CONCATENATE("     ","Interest                                          ")</f>
        <v xml:space="preserve">     Interest                                          </v>
      </c>
      <c r="C61" s="14"/>
      <c r="D61" s="2">
        <f>SUM(OSRRefD22_11x_0)</f>
        <v>7253</v>
      </c>
      <c r="E61" s="2"/>
      <c r="F61" s="6">
        <f t="shared" si="12"/>
        <v>3.3544907209689945E-2</v>
      </c>
      <c r="G61" s="2"/>
      <c r="H61" s="2">
        <f>SUM(OSRRefH22_11x_0)</f>
        <v>7510</v>
      </c>
      <c r="I61" s="2"/>
      <c r="J61" s="6">
        <f t="shared" si="13"/>
        <v>0.1502572480114924</v>
      </c>
      <c r="K61" s="2"/>
      <c r="L61" s="2">
        <f t="shared" si="14"/>
        <v>-257</v>
      </c>
      <c r="M61" s="2"/>
      <c r="N61" s="6">
        <f t="shared" si="15"/>
        <v>-3.4221038615179764E-2</v>
      </c>
      <c r="O61" s="14"/>
      <c r="P61" s="2">
        <f>SUM(OSRRefP22_11x_0)</f>
        <v>57510</v>
      </c>
      <c r="Q61" s="2"/>
      <c r="R61" s="6">
        <f t="shared" si="16"/>
        <v>7.0253776528343984E-2</v>
      </c>
      <c r="S61" s="2"/>
      <c r="T61" s="2">
        <f>SUM(OSRRefT22_11x_0)</f>
        <v>59593.15</v>
      </c>
      <c r="U61" s="2"/>
      <c r="V61" s="6">
        <f t="shared" si="17"/>
        <v>0.1826506893511389</v>
      </c>
      <c r="W61" s="2"/>
      <c r="X61" s="2">
        <f t="shared" si="18"/>
        <v>-2083.1500000000015</v>
      </c>
      <c r="Y61" s="2"/>
      <c r="Z61" s="6">
        <f t="shared" si="19"/>
        <v>-3.4956198824864962E-2</v>
      </c>
    </row>
    <row r="62" spans="1:26" s="69" customFormat="1" ht="15" hidden="1" customHeight="1" outlineLevel="2" x14ac:dyDescent="0.3">
      <c r="A62" s="26"/>
      <c r="B62" s="12" t="str">
        <f>CONCATENATE("          ","6401"," - ","INTEREST EXPENSE")</f>
        <v xml:space="preserve">          6401 - INTEREST EXPENSE</v>
      </c>
      <c r="C62" s="12"/>
      <c r="D62" s="8">
        <v>7253</v>
      </c>
      <c r="E62" s="3"/>
      <c r="F62" s="7">
        <f t="shared" si="12"/>
        <v>3.3544907209689945E-2</v>
      </c>
      <c r="G62" s="3"/>
      <c r="H62" s="8">
        <v>7510</v>
      </c>
      <c r="I62" s="3"/>
      <c r="J62" s="7">
        <f t="shared" si="13"/>
        <v>0.1502572480114924</v>
      </c>
      <c r="K62" s="3"/>
      <c r="L62" s="8">
        <f t="shared" si="14"/>
        <v>-257</v>
      </c>
      <c r="M62" s="3"/>
      <c r="N62" s="7">
        <f t="shared" si="15"/>
        <v>-3.4221038615179764E-2</v>
      </c>
      <c r="O62" s="12"/>
      <c r="P62" s="8">
        <v>57510</v>
      </c>
      <c r="Q62" s="3"/>
      <c r="R62" s="7">
        <f t="shared" si="16"/>
        <v>7.0253776528343984E-2</v>
      </c>
      <c r="S62" s="3"/>
      <c r="T62" s="8">
        <v>59593.15</v>
      </c>
      <c r="U62" s="3"/>
      <c r="V62" s="7">
        <f t="shared" si="17"/>
        <v>0.1826506893511389</v>
      </c>
      <c r="W62" s="3"/>
      <c r="X62" s="8">
        <f t="shared" si="18"/>
        <v>-2083.1500000000015</v>
      </c>
      <c r="Y62" s="3"/>
      <c r="Z62" s="7">
        <f t="shared" si="19"/>
        <v>-3.4956198824864962E-2</v>
      </c>
    </row>
    <row r="63" spans="1:26" s="68" customFormat="1" ht="15" customHeight="1" outlineLevel="1" collapsed="1" x14ac:dyDescent="0.3">
      <c r="A63" s="25"/>
      <c r="B63" s="14" t="str">
        <f>CONCATENATE("     ","Rent                                              ")</f>
        <v xml:space="preserve">     Rent                                              </v>
      </c>
      <c r="C63" s="14"/>
      <c r="D63" s="2">
        <f>SUM(OSRRefD22_12x_0)</f>
        <v>1850</v>
      </c>
      <c r="E63" s="2"/>
      <c r="F63" s="6">
        <f t="shared" si="12"/>
        <v>8.556194448907541E-3</v>
      </c>
      <c r="G63" s="2"/>
      <c r="H63" s="2">
        <f>SUM(OSRRefH22_12x_0)</f>
        <v>0</v>
      </c>
      <c r="I63" s="2"/>
      <c r="J63" s="6">
        <f t="shared" si="13"/>
        <v>0</v>
      </c>
      <c r="K63" s="2"/>
      <c r="L63" s="2">
        <f t="shared" si="14"/>
        <v>1850</v>
      </c>
      <c r="M63" s="2"/>
      <c r="N63" s="6">
        <f t="shared" si="15"/>
        <v>0</v>
      </c>
      <c r="O63" s="14"/>
      <c r="P63" s="2">
        <f>SUM(OSRRefP22_12x_0)</f>
        <v>14800</v>
      </c>
      <c r="Q63" s="2"/>
      <c r="R63" s="6">
        <f t="shared" si="16"/>
        <v>1.807956690348619E-2</v>
      </c>
      <c r="S63" s="2"/>
      <c r="T63" s="2">
        <f>SUM(OSRRefT22_12x_0)</f>
        <v>11100</v>
      </c>
      <c r="U63" s="2"/>
      <c r="V63" s="6">
        <f t="shared" si="17"/>
        <v>3.4021068726819134E-2</v>
      </c>
      <c r="W63" s="2"/>
      <c r="X63" s="2">
        <f t="shared" si="18"/>
        <v>3700</v>
      </c>
      <c r="Y63" s="2"/>
      <c r="Z63" s="6">
        <f t="shared" si="19"/>
        <v>0.33333333333333331</v>
      </c>
    </row>
    <row r="64" spans="1:26" s="69" customFormat="1" ht="15" hidden="1" customHeight="1" outlineLevel="2" x14ac:dyDescent="0.3">
      <c r="A64" s="26"/>
      <c r="B64" s="12" t="str">
        <f>CONCATENATE("          ","6273"," - ","RENT")</f>
        <v xml:space="preserve">          6273 - RENT</v>
      </c>
      <c r="C64" s="12"/>
      <c r="D64" s="8">
        <v>1850</v>
      </c>
      <c r="E64" s="3"/>
      <c r="F64" s="7">
        <f t="shared" si="12"/>
        <v>8.556194448907541E-3</v>
      </c>
      <c r="G64" s="3"/>
      <c r="H64" s="8"/>
      <c r="I64" s="3"/>
      <c r="J64" s="7">
        <f t="shared" si="13"/>
        <v>0</v>
      </c>
      <c r="K64" s="3"/>
      <c r="L64" s="8">
        <f t="shared" si="14"/>
        <v>1850</v>
      </c>
      <c r="M64" s="3"/>
      <c r="N64" s="7">
        <f t="shared" si="15"/>
        <v>0</v>
      </c>
      <c r="O64" s="12"/>
      <c r="P64" s="8">
        <v>14800</v>
      </c>
      <c r="Q64" s="3"/>
      <c r="R64" s="7">
        <f t="shared" si="16"/>
        <v>1.807956690348619E-2</v>
      </c>
      <c r="S64" s="3"/>
      <c r="T64" s="8">
        <v>11100</v>
      </c>
      <c r="U64" s="3"/>
      <c r="V64" s="7">
        <f t="shared" si="17"/>
        <v>3.4021068726819134E-2</v>
      </c>
      <c r="W64" s="3"/>
      <c r="X64" s="8">
        <f t="shared" si="18"/>
        <v>3700</v>
      </c>
      <c r="Y64" s="3"/>
      <c r="Z64" s="7">
        <f t="shared" si="19"/>
        <v>0.33333333333333331</v>
      </c>
    </row>
    <row r="65" spans="1:26" s="68" customFormat="1" ht="15" customHeight="1" outlineLevel="1" collapsed="1" x14ac:dyDescent="0.3">
      <c r="A65" s="25"/>
      <c r="B65" s="14" t="str">
        <f>CONCATENATE("     ","Repair and Maintenance                            ")</f>
        <v xml:space="preserve">     Repair and Maintenance                            </v>
      </c>
      <c r="C65" s="14"/>
      <c r="D65" s="2">
        <f>SUM(OSRRefD22_13x_0)</f>
        <v>4656</v>
      </c>
      <c r="E65" s="2"/>
      <c r="F65" s="6">
        <f t="shared" si="12"/>
        <v>2.1533860191412707E-2</v>
      </c>
      <c r="G65" s="2"/>
      <c r="H65" s="2">
        <f>SUM(OSRRefH22_13x_0)</f>
        <v>2036.1299999999999</v>
      </c>
      <c r="I65" s="2"/>
      <c r="J65" s="6">
        <f t="shared" si="13"/>
        <v>4.0738121224186415E-2</v>
      </c>
      <c r="K65" s="2"/>
      <c r="L65" s="2">
        <f t="shared" si="14"/>
        <v>2619.87</v>
      </c>
      <c r="M65" s="2"/>
      <c r="N65" s="6">
        <f t="shared" si="15"/>
        <v>1.2866909283788364</v>
      </c>
      <c r="O65" s="14"/>
      <c r="P65" s="2">
        <f>SUM(OSRRefP22_13x_0)</f>
        <v>61854.36</v>
      </c>
      <c r="Q65" s="2"/>
      <c r="R65" s="6">
        <f t="shared" si="16"/>
        <v>7.5560813506237848E-2</v>
      </c>
      <c r="S65" s="2"/>
      <c r="T65" s="2">
        <f>SUM(OSRRefT22_13x_0)</f>
        <v>24804.32</v>
      </c>
      <c r="U65" s="2"/>
      <c r="V65" s="6">
        <f t="shared" si="17"/>
        <v>7.6024277066848139E-2</v>
      </c>
      <c r="W65" s="2"/>
      <c r="X65" s="2">
        <f t="shared" si="18"/>
        <v>37050.04</v>
      </c>
      <c r="Y65" s="2"/>
      <c r="Z65" s="6">
        <f t="shared" si="19"/>
        <v>1.4936930341166379</v>
      </c>
    </row>
    <row r="66" spans="1:26" s="69" customFormat="1" ht="15" hidden="1" customHeight="1" outlineLevel="2" x14ac:dyDescent="0.3">
      <c r="A66" s="26"/>
      <c r="B66" s="12" t="str">
        <f>CONCATENATE("          ","6371"," - ","COMPUTER SOFTWARE MAINTENANCE")</f>
        <v xml:space="preserve">          6371 - COMPUTER SOFTWARE MAINTENANCE</v>
      </c>
      <c r="C66" s="12"/>
      <c r="D66" s="8"/>
      <c r="E66" s="3"/>
      <c r="F66" s="7">
        <f t="shared" si="12"/>
        <v>0</v>
      </c>
      <c r="G66" s="3"/>
      <c r="H66" s="8">
        <v>702.27</v>
      </c>
      <c r="I66" s="3"/>
      <c r="J66" s="7">
        <f t="shared" si="13"/>
        <v>1.4050753337021406E-2</v>
      </c>
      <c r="K66" s="3"/>
      <c r="L66" s="8">
        <f t="shared" si="14"/>
        <v>-702.27</v>
      </c>
      <c r="M66" s="3"/>
      <c r="N66" s="7">
        <f t="shared" si="15"/>
        <v>-1</v>
      </c>
      <c r="O66" s="12"/>
      <c r="P66" s="8">
        <v>6817.17</v>
      </c>
      <c r="Q66" s="3"/>
      <c r="R66" s="7">
        <f t="shared" si="16"/>
        <v>8.3278027775296592E-3</v>
      </c>
      <c r="S66" s="3"/>
      <c r="T66" s="8">
        <v>702.27</v>
      </c>
      <c r="U66" s="3"/>
      <c r="V66" s="7">
        <f t="shared" si="17"/>
        <v>2.1524302643948895E-3</v>
      </c>
      <c r="W66" s="3"/>
      <c r="X66" s="8">
        <f t="shared" si="18"/>
        <v>6114.9</v>
      </c>
      <c r="Y66" s="3"/>
      <c r="Z66" s="7">
        <f t="shared" si="19"/>
        <v>8.7073347857661574</v>
      </c>
    </row>
    <row r="67" spans="1:26" s="69" customFormat="1" ht="15" hidden="1" customHeight="1" outlineLevel="2" x14ac:dyDescent="0.3">
      <c r="A67" s="26"/>
      <c r="B67" s="12" t="str">
        <f>CONCATENATE("          ","6373"," - ","MAINTENANCE CONTRACTS")</f>
        <v xml:space="preserve">          6373 - MAINTENANCE CONTRACTS</v>
      </c>
      <c r="C67" s="12"/>
      <c r="D67" s="8">
        <v>902.75</v>
      </c>
      <c r="E67" s="3"/>
      <c r="F67" s="7">
        <f t="shared" si="12"/>
        <v>4.1751916425682607E-3</v>
      </c>
      <c r="G67" s="3"/>
      <c r="H67" s="8"/>
      <c r="I67" s="3"/>
      <c r="J67" s="7">
        <f t="shared" si="13"/>
        <v>0</v>
      </c>
      <c r="K67" s="3"/>
      <c r="L67" s="8">
        <f t="shared" si="14"/>
        <v>902.75</v>
      </c>
      <c r="M67" s="3"/>
      <c r="N67" s="7">
        <f t="shared" si="15"/>
        <v>0</v>
      </c>
      <c r="O67" s="12"/>
      <c r="P67" s="8">
        <v>14643.89</v>
      </c>
      <c r="Q67" s="3"/>
      <c r="R67" s="7">
        <f t="shared" si="16"/>
        <v>1.788886412042516E-2</v>
      </c>
      <c r="S67" s="3"/>
      <c r="T67" s="8">
        <v>11021.44</v>
      </c>
      <c r="U67" s="3"/>
      <c r="V67" s="7">
        <f t="shared" si="17"/>
        <v>3.3780285379145361E-2</v>
      </c>
      <c r="W67" s="3"/>
      <c r="X67" s="8">
        <f t="shared" si="18"/>
        <v>3622.4499999999989</v>
      </c>
      <c r="Y67" s="3"/>
      <c r="Z67" s="7">
        <f t="shared" si="19"/>
        <v>0.32867302276290566</v>
      </c>
    </row>
    <row r="68" spans="1:26" s="69" customFormat="1" ht="15" hidden="1" customHeight="1" outlineLevel="2" x14ac:dyDescent="0.3">
      <c r="A68" s="26"/>
      <c r="B68" s="12" t="str">
        <f>CONCATENATE("          ","6375"," - ","OUTSIDE REPAIRS &amp; MAINTENANCE")</f>
        <v xml:space="preserve">          6375 - OUTSIDE REPAIRS &amp; MAINTENANCE</v>
      </c>
      <c r="C68" s="12"/>
      <c r="D68" s="8">
        <v>3753.25</v>
      </c>
      <c r="E68" s="3"/>
      <c r="F68" s="7">
        <f t="shared" si="12"/>
        <v>1.7358668548844446E-2</v>
      </c>
      <c r="G68" s="3"/>
      <c r="H68" s="8">
        <v>1333.86</v>
      </c>
      <c r="I68" s="3"/>
      <c r="J68" s="7">
        <f t="shared" si="13"/>
        <v>2.6687367887165008E-2</v>
      </c>
      <c r="K68" s="3"/>
      <c r="L68" s="8">
        <f t="shared" si="14"/>
        <v>2419.3900000000003</v>
      </c>
      <c r="M68" s="3"/>
      <c r="N68" s="7">
        <f t="shared" si="15"/>
        <v>1.813826038714708</v>
      </c>
      <c r="O68" s="12"/>
      <c r="P68" s="8">
        <v>40393.300000000003</v>
      </c>
      <c r="Q68" s="3"/>
      <c r="R68" s="7">
        <f t="shared" si="16"/>
        <v>4.9344146608283027E-2</v>
      </c>
      <c r="S68" s="3"/>
      <c r="T68" s="8">
        <v>13080.61</v>
      </c>
      <c r="U68" s="3"/>
      <c r="V68" s="7">
        <f t="shared" si="17"/>
        <v>4.0091561423307893E-2</v>
      </c>
      <c r="W68" s="3"/>
      <c r="X68" s="8">
        <f t="shared" si="18"/>
        <v>27312.690000000002</v>
      </c>
      <c r="Y68" s="3"/>
      <c r="Z68" s="7">
        <f t="shared" si="19"/>
        <v>2.0880287693005144</v>
      </c>
    </row>
    <row r="69" spans="1:26" s="68" customFormat="1" ht="15" customHeight="1" outlineLevel="1" collapsed="1" x14ac:dyDescent="0.3">
      <c r="A69" s="25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2">
        <f>SUM(OSRRefD22_14x_0)</f>
        <v>1789.12</v>
      </c>
      <c r="E69" s="2"/>
      <c r="F69" s="6">
        <f t="shared" si="12"/>
        <v>8.2746262769888956E-3</v>
      </c>
      <c r="G69" s="2"/>
      <c r="H69" s="2">
        <f>SUM(OSRRefH22_14x_0)</f>
        <v>0</v>
      </c>
      <c r="I69" s="2"/>
      <c r="J69" s="6">
        <f t="shared" si="13"/>
        <v>0</v>
      </c>
      <c r="K69" s="2"/>
      <c r="L69" s="2">
        <f t="shared" si="14"/>
        <v>1789.12</v>
      </c>
      <c r="M69" s="2"/>
      <c r="N69" s="6">
        <f t="shared" si="15"/>
        <v>0</v>
      </c>
      <c r="O69" s="14"/>
      <c r="P69" s="2">
        <f>SUM(OSRRefP22_14x_0)</f>
        <v>3634.03</v>
      </c>
      <c r="Q69" s="2"/>
      <c r="R69" s="6">
        <f t="shared" si="16"/>
        <v>4.4393032779916171E-3</v>
      </c>
      <c r="S69" s="2"/>
      <c r="T69" s="2">
        <f>SUM(OSRRefT22_14x_0)</f>
        <v>0</v>
      </c>
      <c r="U69" s="2"/>
      <c r="V69" s="6">
        <f t="shared" si="17"/>
        <v>0</v>
      </c>
      <c r="W69" s="2"/>
      <c r="X69" s="2">
        <f t="shared" si="18"/>
        <v>3634.03</v>
      </c>
      <c r="Y69" s="2"/>
      <c r="Z69" s="6">
        <f t="shared" si="19"/>
        <v>0</v>
      </c>
    </row>
    <row r="70" spans="1:26" s="69" customFormat="1" ht="15" hidden="1" customHeight="1" outlineLevel="2" x14ac:dyDescent="0.3">
      <c r="A70" s="26"/>
      <c r="B70" s="12" t="str">
        <f>CONCATENATE("          ","6254"," - ","ROYALTY &amp; COMMISSIONS")</f>
        <v xml:space="preserve">          6254 - ROYALTY &amp; COMMISSIONS</v>
      </c>
      <c r="C70" s="12"/>
      <c r="D70" s="8">
        <v>1789.12</v>
      </c>
      <c r="E70" s="3"/>
      <c r="F70" s="7">
        <f t="shared" si="12"/>
        <v>8.2746262769888956E-3</v>
      </c>
      <c r="G70" s="3"/>
      <c r="H70" s="8"/>
      <c r="I70" s="3"/>
      <c r="J70" s="7">
        <f t="shared" si="13"/>
        <v>0</v>
      </c>
      <c r="K70" s="3"/>
      <c r="L70" s="8">
        <f t="shared" si="14"/>
        <v>1789.12</v>
      </c>
      <c r="M70" s="3"/>
      <c r="N70" s="7">
        <f t="shared" si="15"/>
        <v>0</v>
      </c>
      <c r="O70" s="12"/>
      <c r="P70" s="8">
        <v>3634.03</v>
      </c>
      <c r="Q70" s="3"/>
      <c r="R70" s="7">
        <f t="shared" si="16"/>
        <v>4.4393032779916171E-3</v>
      </c>
      <c r="S70" s="3"/>
      <c r="T70" s="8"/>
      <c r="U70" s="3"/>
      <c r="V70" s="7">
        <f t="shared" si="17"/>
        <v>0</v>
      </c>
      <c r="W70" s="3"/>
      <c r="X70" s="8">
        <f t="shared" si="18"/>
        <v>3634.03</v>
      </c>
      <c r="Y70" s="3"/>
      <c r="Z70" s="7">
        <f t="shared" si="19"/>
        <v>0</v>
      </c>
    </row>
    <row r="71" spans="1:26" s="68" customFormat="1" ht="15" customHeight="1" outlineLevel="1" collapsed="1" x14ac:dyDescent="0.3">
      <c r="A71" s="25"/>
      <c r="B71" s="14" t="str">
        <f>CONCATENATE("     ","Services                                          ")</f>
        <v xml:space="preserve">     Services                                          </v>
      </c>
      <c r="C71" s="14"/>
      <c r="D71" s="2">
        <f>SUM(OSRRefD22_15x_0)</f>
        <v>9002.0400000000009</v>
      </c>
      <c r="E71" s="2"/>
      <c r="F71" s="6">
        <f t="shared" si="12"/>
        <v>4.1634164690185757E-2</v>
      </c>
      <c r="G71" s="2"/>
      <c r="H71" s="2">
        <f>SUM(OSRRefH22_15x_0)</f>
        <v>6107.21</v>
      </c>
      <c r="I71" s="2"/>
      <c r="J71" s="6">
        <f t="shared" si="13"/>
        <v>0.12219075467753215</v>
      </c>
      <c r="K71" s="2"/>
      <c r="L71" s="2">
        <f t="shared" si="14"/>
        <v>2894.8300000000008</v>
      </c>
      <c r="M71" s="2"/>
      <c r="N71" s="6">
        <f t="shared" si="15"/>
        <v>0.47400204021148784</v>
      </c>
      <c r="O71" s="14"/>
      <c r="P71" s="2">
        <f>SUM(OSRRefP22_15x_0)</f>
        <v>55134.32</v>
      </c>
      <c r="Q71" s="2"/>
      <c r="R71" s="6">
        <f t="shared" si="16"/>
        <v>6.7351663994474106E-2</v>
      </c>
      <c r="S71" s="2"/>
      <c r="T71" s="2">
        <f>SUM(OSRRefT22_15x_0)</f>
        <v>50105.89</v>
      </c>
      <c r="U71" s="2"/>
      <c r="V71" s="6">
        <f t="shared" si="17"/>
        <v>0.15357260606382339</v>
      </c>
      <c r="W71" s="2"/>
      <c r="X71" s="2">
        <f t="shared" si="18"/>
        <v>5028.43</v>
      </c>
      <c r="Y71" s="2"/>
      <c r="Z71" s="6">
        <f t="shared" si="19"/>
        <v>0.10035606592358703</v>
      </c>
    </row>
    <row r="72" spans="1:26" s="69" customFormat="1" ht="15" hidden="1" customHeight="1" outlineLevel="2" x14ac:dyDescent="0.3">
      <c r="A72" s="26"/>
      <c r="B72" s="12" t="str">
        <f>CONCATENATE("          ","6282"," - ","JANITORIAL/EXTERMINATOR EXPENS")</f>
        <v xml:space="preserve">          6282 - JANITORIAL/EXTERMINATOR EXPENS</v>
      </c>
      <c r="C72" s="12"/>
      <c r="D72" s="8">
        <v>1211.6500000000001</v>
      </c>
      <c r="E72" s="3"/>
      <c r="F72" s="7">
        <f t="shared" si="12"/>
        <v>5.6038448670372009E-3</v>
      </c>
      <c r="G72" s="3"/>
      <c r="H72" s="8">
        <v>626.26</v>
      </c>
      <c r="I72" s="3"/>
      <c r="J72" s="7">
        <f t="shared" si="13"/>
        <v>1.2529973920063544E-2</v>
      </c>
      <c r="K72" s="3"/>
      <c r="L72" s="8">
        <f t="shared" si="14"/>
        <v>585.3900000000001</v>
      </c>
      <c r="M72" s="3"/>
      <c r="N72" s="7">
        <f t="shared" si="15"/>
        <v>0.93473956503688582</v>
      </c>
      <c r="O72" s="12"/>
      <c r="P72" s="8">
        <v>8463.51</v>
      </c>
      <c r="Q72" s="3"/>
      <c r="R72" s="7">
        <f t="shared" si="16"/>
        <v>1.0338959140765163E-2</v>
      </c>
      <c r="S72" s="3"/>
      <c r="T72" s="8">
        <v>6824.37</v>
      </c>
      <c r="U72" s="3"/>
      <c r="V72" s="7">
        <f t="shared" si="17"/>
        <v>2.0916428899751593E-2</v>
      </c>
      <c r="W72" s="3"/>
      <c r="X72" s="8">
        <f t="shared" si="18"/>
        <v>1639.1400000000003</v>
      </c>
      <c r="Y72" s="3"/>
      <c r="Z72" s="7">
        <f t="shared" si="19"/>
        <v>0.24018920427819715</v>
      </c>
    </row>
    <row r="73" spans="1:26" s="69" customFormat="1" ht="15" hidden="1" customHeight="1" outlineLevel="2" x14ac:dyDescent="0.3">
      <c r="A73" s="26"/>
      <c r="B73" s="12" t="str">
        <f>CONCATENATE("          ","6284"," - ","TRASH REMOVAL EXPENSE")</f>
        <v xml:space="preserve">          6284 - TRASH REMOVAL EXPENSE</v>
      </c>
      <c r="C73" s="12"/>
      <c r="D73" s="8"/>
      <c r="E73" s="3"/>
      <c r="F73" s="7">
        <f t="shared" si="12"/>
        <v>0</v>
      </c>
      <c r="G73" s="3"/>
      <c r="H73" s="8">
        <v>5369</v>
      </c>
      <c r="I73" s="3"/>
      <c r="J73" s="7">
        <f t="shared" si="13"/>
        <v>0.10742092737332924</v>
      </c>
      <c r="K73" s="3"/>
      <c r="L73" s="8">
        <f t="shared" si="14"/>
        <v>-5369</v>
      </c>
      <c r="M73" s="3"/>
      <c r="N73" s="7">
        <f t="shared" si="15"/>
        <v>-1</v>
      </c>
      <c r="O73" s="12"/>
      <c r="P73" s="8"/>
      <c r="Q73" s="3"/>
      <c r="R73" s="7">
        <f t="shared" si="16"/>
        <v>0</v>
      </c>
      <c r="S73" s="3"/>
      <c r="T73" s="8">
        <v>29606</v>
      </c>
      <c r="U73" s="3"/>
      <c r="V73" s="7">
        <f t="shared" si="17"/>
        <v>9.0741239705063717E-2</v>
      </c>
      <c r="W73" s="3"/>
      <c r="X73" s="8">
        <f t="shared" si="18"/>
        <v>-29606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6"/>
      <c r="B74" s="12" t="str">
        <f>CONCATENATE("          ","6285"," - ","JANITORIAL SERVICES")</f>
        <v xml:space="preserve">          6285 - JANITORIAL SERVICES</v>
      </c>
      <c r="C74" s="12"/>
      <c r="D74" s="8">
        <v>7414.79</v>
      </c>
      <c r="E74" s="3"/>
      <c r="F74" s="7">
        <f t="shared" si="12"/>
        <v>3.42931811015217E-2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7414.79</v>
      </c>
      <c r="M74" s="3"/>
      <c r="N74" s="7">
        <f t="shared" si="15"/>
        <v>0</v>
      </c>
      <c r="O74" s="12"/>
      <c r="P74" s="8">
        <v>43748.11</v>
      </c>
      <c r="Q74" s="3"/>
      <c r="R74" s="7">
        <f t="shared" si="16"/>
        <v>5.3442356867977929E-2</v>
      </c>
      <c r="S74" s="3"/>
      <c r="T74" s="8">
        <v>12770.81</v>
      </c>
      <c r="U74" s="3"/>
      <c r="V74" s="7">
        <f t="shared" si="17"/>
        <v>3.9142036460103516E-2</v>
      </c>
      <c r="W74" s="3"/>
      <c r="X74" s="8">
        <f t="shared" si="18"/>
        <v>30977.300000000003</v>
      </c>
      <c r="Y74" s="3"/>
      <c r="Z74" s="7">
        <f t="shared" si="19"/>
        <v>2.4256331430817624</v>
      </c>
    </row>
    <row r="75" spans="1:26" s="69" customFormat="1" ht="15" hidden="1" customHeight="1" outlineLevel="2" x14ac:dyDescent="0.3">
      <c r="A75" s="26"/>
      <c r="B75" s="12" t="str">
        <f>CONCATENATE("          ","6286"," - ","LAUNDRY EXPENSE")</f>
        <v xml:space="preserve">          6286 - LAUNDRY EXPENSE</v>
      </c>
      <c r="C75" s="12"/>
      <c r="D75" s="8">
        <v>375.6</v>
      </c>
      <c r="E75" s="3"/>
      <c r="F75" s="7">
        <f t="shared" si="12"/>
        <v>1.7371387216268499E-3</v>
      </c>
      <c r="G75" s="3"/>
      <c r="H75" s="8">
        <v>111.95</v>
      </c>
      <c r="I75" s="3"/>
      <c r="J75" s="7">
        <f t="shared" si="13"/>
        <v>2.2398533841393575E-3</v>
      </c>
      <c r="K75" s="3"/>
      <c r="L75" s="8">
        <f t="shared" si="14"/>
        <v>263.65000000000003</v>
      </c>
      <c r="M75" s="3"/>
      <c r="N75" s="7">
        <f t="shared" si="15"/>
        <v>2.3550692273336313</v>
      </c>
      <c r="O75" s="12"/>
      <c r="P75" s="8">
        <v>2922.7</v>
      </c>
      <c r="Q75" s="3"/>
      <c r="R75" s="7">
        <f t="shared" si="16"/>
        <v>3.5703479857310196E-3</v>
      </c>
      <c r="S75" s="3"/>
      <c r="T75" s="8">
        <v>904.71</v>
      </c>
      <c r="U75" s="3"/>
      <c r="V75" s="7">
        <f t="shared" si="17"/>
        <v>2.7729009989045533E-3</v>
      </c>
      <c r="W75" s="3"/>
      <c r="X75" s="8">
        <f t="shared" si="18"/>
        <v>2017.9899999999998</v>
      </c>
      <c r="Y75" s="3"/>
      <c r="Z75" s="7">
        <f t="shared" si="19"/>
        <v>2.2305379624410029</v>
      </c>
    </row>
    <row r="76" spans="1:26" s="68" customFormat="1" ht="15" customHeight="1" outlineLevel="1" collapsed="1" x14ac:dyDescent="0.3">
      <c r="A76" s="25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2">
        <f>SUM(OSRRefD22_16x_0)</f>
        <v>622.25</v>
      </c>
      <c r="E76" s="2"/>
      <c r="F76" s="6">
        <f t="shared" si="12"/>
        <v>2.8778875653149823E-3</v>
      </c>
      <c r="G76" s="2"/>
      <c r="H76" s="2">
        <f>SUM(OSRRefH22_16x_0)</f>
        <v>262.83999999999997</v>
      </c>
      <c r="I76" s="2"/>
      <c r="J76" s="6">
        <f t="shared" si="13"/>
        <v>5.25880360417319E-3</v>
      </c>
      <c r="K76" s="2"/>
      <c r="L76" s="2">
        <f t="shared" si="14"/>
        <v>359.41</v>
      </c>
      <c r="M76" s="2"/>
      <c r="N76" s="6">
        <f t="shared" si="15"/>
        <v>1.3674098310759399</v>
      </c>
      <c r="O76" s="14"/>
      <c r="P76" s="2">
        <f>SUM(OSRRefP22_16x_0)</f>
        <v>5155.3599999999997</v>
      </c>
      <c r="Q76" s="2"/>
      <c r="R76" s="6">
        <f t="shared" si="16"/>
        <v>6.2977483805105785E-3</v>
      </c>
      <c r="S76" s="2"/>
      <c r="T76" s="2">
        <f>SUM(OSRRefT22_16x_0)</f>
        <v>797.01</v>
      </c>
      <c r="U76" s="2"/>
      <c r="V76" s="6">
        <f t="shared" si="17"/>
        <v>2.4428046834200105E-3</v>
      </c>
      <c r="W76" s="2"/>
      <c r="X76" s="2">
        <f t="shared" si="18"/>
        <v>4358.3499999999995</v>
      </c>
      <c r="Y76" s="2"/>
      <c r="Z76" s="6">
        <f t="shared" si="19"/>
        <v>5.4683755536316978</v>
      </c>
    </row>
    <row r="77" spans="1:26" s="69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8">
        <v>622.25</v>
      </c>
      <c r="E77" s="3"/>
      <c r="F77" s="7">
        <f t="shared" si="12"/>
        <v>2.8778875653149823E-3</v>
      </c>
      <c r="G77" s="3"/>
      <c r="H77" s="8">
        <v>262.83999999999997</v>
      </c>
      <c r="I77" s="3"/>
      <c r="J77" s="7">
        <f t="shared" si="13"/>
        <v>5.25880360417319E-3</v>
      </c>
      <c r="K77" s="3"/>
      <c r="L77" s="8">
        <f t="shared" si="14"/>
        <v>359.41</v>
      </c>
      <c r="M77" s="3"/>
      <c r="N77" s="7">
        <f t="shared" si="15"/>
        <v>1.3674098310759399</v>
      </c>
      <c r="O77" s="12"/>
      <c r="P77" s="8">
        <v>5155.3599999999997</v>
      </c>
      <c r="Q77" s="3"/>
      <c r="R77" s="7">
        <f t="shared" si="16"/>
        <v>6.2977483805105785E-3</v>
      </c>
      <c r="S77" s="3"/>
      <c r="T77" s="8">
        <v>797.01</v>
      </c>
      <c r="U77" s="3"/>
      <c r="V77" s="7">
        <f t="shared" si="17"/>
        <v>2.4428046834200105E-3</v>
      </c>
      <c r="W77" s="3"/>
      <c r="X77" s="8">
        <f t="shared" si="18"/>
        <v>4358.3499999999995</v>
      </c>
      <c r="Y77" s="3"/>
      <c r="Z77" s="7">
        <f t="shared" si="19"/>
        <v>5.4683755536316978</v>
      </c>
    </row>
    <row r="78" spans="1:26" s="68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SUM(OSRRefD22_17x_0)</f>
        <v>4659.8899999999994</v>
      </c>
      <c r="E78" s="2"/>
      <c r="F78" s="6">
        <f t="shared" si="12"/>
        <v>2.1551851324605274E-2</v>
      </c>
      <c r="G78" s="2"/>
      <c r="H78" s="2">
        <f>SUM(OSRRefH22_17x_0)</f>
        <v>82.73</v>
      </c>
      <c r="I78" s="2"/>
      <c r="J78" s="6">
        <f t="shared" si="13"/>
        <v>1.6552306428749355E-3</v>
      </c>
      <c r="K78" s="2"/>
      <c r="L78" s="2">
        <f t="shared" si="14"/>
        <v>4577.16</v>
      </c>
      <c r="M78" s="2"/>
      <c r="N78" s="6">
        <f t="shared" si="15"/>
        <v>55.326483742294208</v>
      </c>
      <c r="O78" s="14"/>
      <c r="P78" s="2">
        <f>SUM(OSRRefP22_17x_0)</f>
        <v>25147.019999999997</v>
      </c>
      <c r="Q78" s="2"/>
      <c r="R78" s="6">
        <f t="shared" si="16"/>
        <v>3.0719407467115222E-2</v>
      </c>
      <c r="S78" s="2"/>
      <c r="T78" s="2">
        <f>SUM(OSRRefT22_17x_0)</f>
        <v>-21346.86</v>
      </c>
      <c r="U78" s="2"/>
      <c r="V78" s="6">
        <f t="shared" si="17"/>
        <v>-6.5427296501061827E-2</v>
      </c>
      <c r="W78" s="2"/>
      <c r="X78" s="2">
        <f t="shared" si="18"/>
        <v>46493.88</v>
      </c>
      <c r="Y78" s="2"/>
      <c r="Z78" s="6">
        <f t="shared" si="19"/>
        <v>-2.1780196244318835</v>
      </c>
    </row>
    <row r="79" spans="1:26" s="69" customFormat="1" ht="15" hidden="1" customHeight="1" outlineLevel="2" x14ac:dyDescent="0.3">
      <c r="A79" s="26"/>
      <c r="B79" s="12" t="str">
        <f>CONCATENATE("          ","6234"," - ","EXPENDABLE SUPPLIES &amp; EQUIPMEN")</f>
        <v xml:space="preserve">          6234 - EXPENDABLE SUPPLIES &amp; EQUIPMEN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57.77</v>
      </c>
      <c r="Q79" s="3"/>
      <c r="R79" s="7">
        <f t="shared" si="16"/>
        <v>7.0571390541513339E-5</v>
      </c>
      <c r="S79" s="3"/>
      <c r="T79" s="8">
        <v>310.91000000000003</v>
      </c>
      <c r="U79" s="3"/>
      <c r="V79" s="7">
        <f t="shared" si="17"/>
        <v>9.5292707007705744E-4</v>
      </c>
      <c r="W79" s="3"/>
      <c r="X79" s="8">
        <f t="shared" si="18"/>
        <v>-253.14000000000001</v>
      </c>
      <c r="Y79" s="3"/>
      <c r="Z79" s="7">
        <f t="shared" si="19"/>
        <v>-0.81419060178186609</v>
      </c>
    </row>
    <row r="80" spans="1:26" s="69" customFormat="1" ht="15" hidden="1" customHeight="1" outlineLevel="2" x14ac:dyDescent="0.3">
      <c r="A80" s="26"/>
      <c r="B80" s="12" t="str">
        <f>CONCATENATE("          ","6235"," - ","COVID-19 EXPENSES")</f>
        <v xml:space="preserve">          6235 - COVID-19 EXPENSES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511.92</v>
      </c>
      <c r="Q80" s="3"/>
      <c r="R80" s="7">
        <f t="shared" si="16"/>
        <v>6.2535756008328725E-4</v>
      </c>
      <c r="S80" s="3"/>
      <c r="T80" s="8">
        <v>6881.86</v>
      </c>
      <c r="U80" s="3"/>
      <c r="V80" s="7">
        <f t="shared" si="17"/>
        <v>2.1092633516067345E-2</v>
      </c>
      <c r="W80" s="3"/>
      <c r="X80" s="8">
        <f t="shared" si="18"/>
        <v>-6369.94</v>
      </c>
      <c r="Y80" s="3"/>
      <c r="Z80" s="7">
        <f t="shared" si="19"/>
        <v>-0.92561313365863296</v>
      </c>
    </row>
    <row r="81" spans="1:26" s="69" customFormat="1" ht="15" hidden="1" customHeight="1" outlineLevel="2" x14ac:dyDescent="0.3">
      <c r="A81" s="26"/>
      <c r="B81" s="12" t="str">
        <f>CONCATENATE("          ","6237"," - ","JANITORIAL SUPPLIES")</f>
        <v xml:space="preserve">          6237 - JANITORIAL SUPPLIES</v>
      </c>
      <c r="C81" s="12"/>
      <c r="D81" s="8">
        <v>612.49</v>
      </c>
      <c r="E81" s="3"/>
      <c r="F81" s="7">
        <f t="shared" si="12"/>
        <v>2.8327478583845297E-3</v>
      </c>
      <c r="G81" s="3"/>
      <c r="H81" s="8"/>
      <c r="I81" s="3"/>
      <c r="J81" s="7">
        <f t="shared" si="13"/>
        <v>0</v>
      </c>
      <c r="K81" s="3"/>
      <c r="L81" s="8">
        <f t="shared" si="14"/>
        <v>612.49</v>
      </c>
      <c r="M81" s="3"/>
      <c r="N81" s="7">
        <f t="shared" si="15"/>
        <v>0</v>
      </c>
      <c r="O81" s="12"/>
      <c r="P81" s="8">
        <v>6460.1</v>
      </c>
      <c r="Q81" s="3"/>
      <c r="R81" s="7">
        <f t="shared" si="16"/>
        <v>7.8916087941358886E-3</v>
      </c>
      <c r="S81" s="3"/>
      <c r="T81" s="8">
        <v>358.91</v>
      </c>
      <c r="U81" s="3"/>
      <c r="V81" s="7">
        <f t="shared" si="17"/>
        <v>1.1000452051119509E-3</v>
      </c>
      <c r="W81" s="3"/>
      <c r="X81" s="8">
        <f t="shared" si="18"/>
        <v>6101.1900000000005</v>
      </c>
      <c r="Y81" s="3"/>
      <c r="Z81" s="7">
        <f t="shared" si="19"/>
        <v>16.999219860132065</v>
      </c>
    </row>
    <row r="82" spans="1:26" s="69" customFormat="1" ht="15" hidden="1" customHeight="1" outlineLevel="2" x14ac:dyDescent="0.3">
      <c r="A82" s="26"/>
      <c r="B82" s="12" t="str">
        <f>CONCATENATE("          ","6239"," - ","KITCHEN SUPPLIES")</f>
        <v xml:space="preserve">          6239 - KITCHEN SUPPLIES</v>
      </c>
      <c r="C82" s="12"/>
      <c r="D82" s="8">
        <v>1167.4100000000001</v>
      </c>
      <c r="E82" s="3"/>
      <c r="F82" s="7">
        <f t="shared" si="12"/>
        <v>5.3992361954590014E-3</v>
      </c>
      <c r="G82" s="3"/>
      <c r="H82" s="8"/>
      <c r="I82" s="3"/>
      <c r="J82" s="7">
        <f t="shared" si="13"/>
        <v>0</v>
      </c>
      <c r="K82" s="3"/>
      <c r="L82" s="8">
        <f t="shared" si="14"/>
        <v>1167.4100000000001</v>
      </c>
      <c r="M82" s="3"/>
      <c r="N82" s="7">
        <f t="shared" si="15"/>
        <v>0</v>
      </c>
      <c r="O82" s="12"/>
      <c r="P82" s="8">
        <v>4699.05</v>
      </c>
      <c r="Q82" s="3"/>
      <c r="R82" s="7">
        <f t="shared" si="16"/>
        <v>5.7403235714747836E-3</v>
      </c>
      <c r="S82" s="3"/>
      <c r="T82" s="8">
        <v>19.829999999999998</v>
      </c>
      <c r="U82" s="3"/>
      <c r="V82" s="7">
        <f t="shared" si="17"/>
        <v>6.0778179536290389E-5</v>
      </c>
      <c r="W82" s="3"/>
      <c r="X82" s="8">
        <f t="shared" si="18"/>
        <v>4679.22</v>
      </c>
      <c r="Y82" s="3"/>
      <c r="Z82" s="7">
        <f t="shared" si="19"/>
        <v>235.96671709531017</v>
      </c>
    </row>
    <row r="83" spans="1:26" s="69" customFormat="1" ht="15" hidden="1" customHeight="1" outlineLevel="2" x14ac:dyDescent="0.3">
      <c r="A83" s="26"/>
      <c r="B83" s="12" t="str">
        <f>CONCATENATE("          ","6241"," - ","OFFICE EXPENSE")</f>
        <v xml:space="preserve">          6241 - OFFICE EXPENSE</v>
      </c>
      <c r="C83" s="12"/>
      <c r="D83" s="8">
        <v>432.76</v>
      </c>
      <c r="E83" s="3"/>
      <c r="F83" s="7">
        <f t="shared" si="12"/>
        <v>2.0015020052482307E-3</v>
      </c>
      <c r="G83" s="3"/>
      <c r="H83" s="8">
        <v>82.73</v>
      </c>
      <c r="I83" s="3"/>
      <c r="J83" s="7">
        <f t="shared" si="13"/>
        <v>1.6552306428749355E-3</v>
      </c>
      <c r="K83" s="3"/>
      <c r="L83" s="8">
        <f t="shared" si="14"/>
        <v>350.03</v>
      </c>
      <c r="M83" s="3"/>
      <c r="N83" s="7">
        <f t="shared" si="15"/>
        <v>4.2309923848664326</v>
      </c>
      <c r="O83" s="12"/>
      <c r="P83" s="8">
        <v>7349.83</v>
      </c>
      <c r="Q83" s="3"/>
      <c r="R83" s="7">
        <f t="shared" si="16"/>
        <v>8.9784961631249934E-3</v>
      </c>
      <c r="S83" s="3"/>
      <c r="T83" s="8">
        <v>-28983.86</v>
      </c>
      <c r="U83" s="3"/>
      <c r="V83" s="7">
        <f t="shared" si="17"/>
        <v>-8.883440477734271E-2</v>
      </c>
      <c r="W83" s="3"/>
      <c r="X83" s="8">
        <f t="shared" si="18"/>
        <v>36333.69</v>
      </c>
      <c r="Y83" s="3"/>
      <c r="Z83" s="7">
        <f t="shared" si="19"/>
        <v>-1.2535835461529279</v>
      </c>
    </row>
    <row r="84" spans="1:26" s="69" customFormat="1" ht="15" hidden="1" customHeight="1" outlineLevel="2" x14ac:dyDescent="0.3">
      <c r="A84" s="26"/>
      <c r="B84" s="12" t="str">
        <f>CONCATENATE("          ","6243"," - ","PAPER SUPPLIES")</f>
        <v xml:space="preserve">          6243 - PAPER SUPPLIES</v>
      </c>
      <c r="C84" s="12"/>
      <c r="D84" s="8">
        <v>569.65</v>
      </c>
      <c r="E84" s="3"/>
      <c r="F84" s="7">
        <f t="shared" si="12"/>
        <v>2.6346141447676648E-3</v>
      </c>
      <c r="G84" s="3"/>
      <c r="H84" s="8"/>
      <c r="I84" s="3"/>
      <c r="J84" s="7">
        <f t="shared" si="13"/>
        <v>0</v>
      </c>
      <c r="K84" s="3"/>
      <c r="L84" s="8">
        <f t="shared" si="14"/>
        <v>569.65</v>
      </c>
      <c r="M84" s="3"/>
      <c r="N84" s="7">
        <f t="shared" si="15"/>
        <v>0</v>
      </c>
      <c r="O84" s="12"/>
      <c r="P84" s="8">
        <v>1821.91</v>
      </c>
      <c r="Q84" s="3"/>
      <c r="R84" s="7">
        <f t="shared" si="16"/>
        <v>2.2256313335899005E-3</v>
      </c>
      <c r="S84" s="3"/>
      <c r="T84" s="8">
        <v>65.489999999999995</v>
      </c>
      <c r="U84" s="3"/>
      <c r="V84" s="7">
        <f t="shared" si="17"/>
        <v>2.0072430548823288E-4</v>
      </c>
      <c r="W84" s="3"/>
      <c r="X84" s="8">
        <f t="shared" si="18"/>
        <v>1756.42</v>
      </c>
      <c r="Y84" s="3"/>
      <c r="Z84" s="7">
        <f t="shared" si="19"/>
        <v>26.819667124751874</v>
      </c>
    </row>
    <row r="85" spans="1:26" s="69" customFormat="1" ht="15" hidden="1" customHeight="1" outlineLevel="2" x14ac:dyDescent="0.3">
      <c r="A85" s="26"/>
      <c r="B85" s="12" t="str">
        <f>CONCATENATE("          ","6245"," - ","PRINTING")</f>
        <v xml:space="preserve">          6245 - PRINTING</v>
      </c>
      <c r="C85" s="12"/>
      <c r="D85" s="8"/>
      <c r="E85" s="3"/>
      <c r="F85" s="7">
        <f t="shared" si="12"/>
        <v>0</v>
      </c>
      <c r="G85" s="3"/>
      <c r="H85" s="8"/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>
        <v>1071</v>
      </c>
      <c r="Q85" s="3"/>
      <c r="R85" s="7">
        <f t="shared" si="16"/>
        <v>1.3083254157860616E-3</v>
      </c>
      <c r="S85" s="3"/>
      <c r="T85" s="8"/>
      <c r="U85" s="3"/>
      <c r="V85" s="7">
        <f t="shared" si="17"/>
        <v>0</v>
      </c>
      <c r="W85" s="3"/>
      <c r="X85" s="8">
        <f t="shared" si="18"/>
        <v>1071</v>
      </c>
      <c r="Y85" s="3"/>
      <c r="Z85" s="7">
        <f t="shared" si="19"/>
        <v>0</v>
      </c>
    </row>
    <row r="86" spans="1:26" s="69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8">
        <v>355.33</v>
      </c>
      <c r="E86" s="3"/>
      <c r="F86" s="7">
        <f t="shared" si="12"/>
        <v>1.6433905802866575E-3</v>
      </c>
      <c r="G86" s="3"/>
      <c r="H86" s="8"/>
      <c r="I86" s="3"/>
      <c r="J86" s="7">
        <f t="shared" si="13"/>
        <v>0</v>
      </c>
      <c r="K86" s="3"/>
      <c r="L86" s="8">
        <f t="shared" si="14"/>
        <v>355.33</v>
      </c>
      <c r="M86" s="3"/>
      <c r="N86" s="7">
        <f t="shared" si="15"/>
        <v>0</v>
      </c>
      <c r="O86" s="12"/>
      <c r="P86" s="8">
        <v>1050.94</v>
      </c>
      <c r="Q86" s="3"/>
      <c r="R86" s="7">
        <f t="shared" si="16"/>
        <v>1.2838202730776878E-3</v>
      </c>
      <c r="S86" s="3"/>
      <c r="T86" s="8"/>
      <c r="U86" s="3"/>
      <c r="V86" s="7">
        <f t="shared" si="17"/>
        <v>0</v>
      </c>
      <c r="W86" s="3"/>
      <c r="X86" s="8">
        <f t="shared" si="18"/>
        <v>1050.94</v>
      </c>
      <c r="Y86" s="3"/>
      <c r="Z86" s="7">
        <f t="shared" si="19"/>
        <v>0</v>
      </c>
    </row>
    <row r="87" spans="1:26" s="69" customFormat="1" ht="15" hidden="1" customHeight="1" outlineLevel="2" x14ac:dyDescent="0.3">
      <c r="A87" s="26"/>
      <c r="B87" s="12" t="str">
        <f>CONCATENATE("          ","6248"," - ","UNIFORMS")</f>
        <v xml:space="preserve">          6248 - UNIFORMS</v>
      </c>
      <c r="C87" s="12"/>
      <c r="D87" s="8">
        <v>1522.25</v>
      </c>
      <c r="E87" s="3"/>
      <c r="F87" s="7">
        <f t="shared" si="12"/>
        <v>7.0403605404591911E-3</v>
      </c>
      <c r="G87" s="3"/>
      <c r="H87" s="8"/>
      <c r="I87" s="3"/>
      <c r="J87" s="7">
        <f t="shared" si="13"/>
        <v>0</v>
      </c>
      <c r="K87" s="3"/>
      <c r="L87" s="8">
        <f t="shared" si="14"/>
        <v>1522.25</v>
      </c>
      <c r="M87" s="3"/>
      <c r="N87" s="7">
        <f t="shared" si="15"/>
        <v>0</v>
      </c>
      <c r="O87" s="12"/>
      <c r="P87" s="8">
        <v>2124.5</v>
      </c>
      <c r="Q87" s="3"/>
      <c r="R87" s="7">
        <f t="shared" si="16"/>
        <v>2.595272965301109E-3</v>
      </c>
      <c r="S87" s="3"/>
      <c r="T87" s="8"/>
      <c r="U87" s="3"/>
      <c r="V87" s="7">
        <f t="shared" si="17"/>
        <v>0</v>
      </c>
      <c r="W87" s="3"/>
      <c r="X87" s="8">
        <f t="shared" si="18"/>
        <v>2124.5</v>
      </c>
      <c r="Y87" s="3"/>
      <c r="Z87" s="7">
        <f t="shared" si="19"/>
        <v>0</v>
      </c>
    </row>
    <row r="88" spans="1:26" s="68" customFormat="1" ht="15" customHeight="1" outlineLevel="1" collapsed="1" x14ac:dyDescent="0.3">
      <c r="A88" s="25"/>
      <c r="B88" s="14" t="str">
        <f>CONCATENATE("     ","Telephone/Data Lines                              ")</f>
        <v xml:space="preserve">     Telephone/Data Lines                              </v>
      </c>
      <c r="C88" s="14"/>
      <c r="D88" s="2">
        <f>SUM(OSRRefD22_18x_0)</f>
        <v>662.8</v>
      </c>
      <c r="E88" s="2"/>
      <c r="F88" s="6">
        <f t="shared" si="12"/>
        <v>3.0654300976950904E-3</v>
      </c>
      <c r="G88" s="2"/>
      <c r="H88" s="2">
        <f>SUM(OSRRefH22_18x_0)</f>
        <v>298.14</v>
      </c>
      <c r="I88" s="2"/>
      <c r="J88" s="6">
        <f t="shared" si="13"/>
        <v>5.9650726926959172E-3</v>
      </c>
      <c r="K88" s="2"/>
      <c r="L88" s="2">
        <f t="shared" si="14"/>
        <v>364.65999999999997</v>
      </c>
      <c r="M88" s="2"/>
      <c r="N88" s="6">
        <f t="shared" si="15"/>
        <v>1.2231166566042799</v>
      </c>
      <c r="O88" s="14"/>
      <c r="P88" s="2">
        <f>SUM(OSRRefP22_18x_0)</f>
        <v>5228.3900000000003</v>
      </c>
      <c r="Q88" s="2"/>
      <c r="R88" s="6">
        <f t="shared" si="16"/>
        <v>6.3869612704404175E-3</v>
      </c>
      <c r="S88" s="2"/>
      <c r="T88" s="2">
        <f>SUM(OSRRefT22_18x_0)</f>
        <v>5197.41</v>
      </c>
      <c r="U88" s="2"/>
      <c r="V88" s="6">
        <f t="shared" si="17"/>
        <v>1.5929859712743875E-2</v>
      </c>
      <c r="W88" s="2"/>
      <c r="X88" s="2">
        <f t="shared" si="18"/>
        <v>30.980000000000473</v>
      </c>
      <c r="Y88" s="2"/>
      <c r="Z88" s="6">
        <f t="shared" si="19"/>
        <v>5.9606611754701808E-3</v>
      </c>
    </row>
    <row r="89" spans="1:26" s="69" customFormat="1" ht="15" hidden="1" customHeight="1" outlineLevel="2" x14ac:dyDescent="0.3">
      <c r="A89" s="26"/>
      <c r="B89" s="12" t="str">
        <f>CONCATENATE("          ","6309"," - ","TELEPHONE")</f>
        <v xml:space="preserve">          6309 - TELEPHONE</v>
      </c>
      <c r="C89" s="12"/>
      <c r="D89" s="8">
        <v>662.8</v>
      </c>
      <c r="E89" s="3"/>
      <c r="F89" s="7">
        <f t="shared" ref="F89:F96" si="20">IF(D$12=0,0,D89/D$12)</f>
        <v>3.0654300976950904E-3</v>
      </c>
      <c r="G89" s="3"/>
      <c r="H89" s="8">
        <v>298.14</v>
      </c>
      <c r="I89" s="3"/>
      <c r="J89" s="7">
        <f t="shared" ref="J89:J96" si="21">IF(H$12=0,0,H89/H$12)</f>
        <v>5.9650726926959172E-3</v>
      </c>
      <c r="K89" s="3"/>
      <c r="L89" s="8">
        <f t="shared" ref="L89:L96" si="22">+D89-H89</f>
        <v>364.65999999999997</v>
      </c>
      <c r="M89" s="3"/>
      <c r="N89" s="7">
        <f t="shared" ref="N89:N96" si="23">IF(H89=0,0,L89/H89)</f>
        <v>1.2231166566042799</v>
      </c>
      <c r="O89" s="12"/>
      <c r="P89" s="8">
        <v>5228.3900000000003</v>
      </c>
      <c r="Q89" s="3"/>
      <c r="R89" s="7">
        <f t="shared" ref="R89:R96" si="24">IF(P$12=0,0,P89/P$12)</f>
        <v>6.3869612704404175E-3</v>
      </c>
      <c r="S89" s="3"/>
      <c r="T89" s="8">
        <v>5197.41</v>
      </c>
      <c r="U89" s="3"/>
      <c r="V89" s="7">
        <f t="shared" ref="V89:V96" si="25">IF(T$12=0,0,T89/T$12)</f>
        <v>1.5929859712743875E-2</v>
      </c>
      <c r="W89" s="3"/>
      <c r="X89" s="8">
        <f t="shared" ref="X89:X96" si="26">+P89-T89</f>
        <v>30.980000000000473</v>
      </c>
      <c r="Y89" s="3"/>
      <c r="Z89" s="7">
        <f t="shared" ref="Z89:Z96" si="27">IF(T89=0,0,X89/T89)</f>
        <v>5.9606611754701808E-3</v>
      </c>
    </row>
    <row r="90" spans="1:26" s="68" customFormat="1" ht="15" customHeight="1" outlineLevel="1" collapsed="1" x14ac:dyDescent="0.3">
      <c r="A90" s="25"/>
      <c r="B90" s="14" t="str">
        <f>CONCATENATE("     ","Training                                          ")</f>
        <v xml:space="preserve">     Training                                          </v>
      </c>
      <c r="C90" s="14"/>
      <c r="D90" s="2">
        <f>SUM(OSRRefD22_19x_0)</f>
        <v>480</v>
      </c>
      <c r="E90" s="2"/>
      <c r="F90" s="6">
        <f t="shared" si="20"/>
        <v>2.219985586743578E-3</v>
      </c>
      <c r="G90" s="2"/>
      <c r="H90" s="2">
        <f>SUM(OSRRefH22_19x_0)</f>
        <v>0</v>
      </c>
      <c r="I90" s="2"/>
      <c r="J90" s="6">
        <f t="shared" si="21"/>
        <v>0</v>
      </c>
      <c r="K90" s="2"/>
      <c r="L90" s="2">
        <f t="shared" si="22"/>
        <v>480</v>
      </c>
      <c r="M90" s="2"/>
      <c r="N90" s="6">
        <f t="shared" si="23"/>
        <v>0</v>
      </c>
      <c r="O90" s="14"/>
      <c r="P90" s="2">
        <f>SUM(OSRRefP22_19x_0)</f>
        <v>480</v>
      </c>
      <c r="Q90" s="2"/>
      <c r="R90" s="6">
        <f t="shared" si="24"/>
        <v>5.8636433200495751E-4</v>
      </c>
      <c r="S90" s="2"/>
      <c r="T90" s="2">
        <f>SUM(OSRRefT22_19x_0)</f>
        <v>400</v>
      </c>
      <c r="U90" s="2"/>
      <c r="V90" s="6">
        <f t="shared" si="25"/>
        <v>1.2259844586241129E-3</v>
      </c>
      <c r="W90" s="2"/>
      <c r="X90" s="2">
        <f t="shared" si="26"/>
        <v>80</v>
      </c>
      <c r="Y90" s="2"/>
      <c r="Z90" s="6">
        <f t="shared" si="27"/>
        <v>0.2</v>
      </c>
    </row>
    <row r="91" spans="1:26" s="69" customFormat="1" ht="15" hidden="1" customHeight="1" outlineLevel="2" x14ac:dyDescent="0.3">
      <c r="A91" s="26"/>
      <c r="B91" s="12" t="str">
        <f>CONCATENATE("          ","6376"," - ","TRAINING")</f>
        <v xml:space="preserve">          6376 - TRAINING</v>
      </c>
      <c r="C91" s="12"/>
      <c r="D91" s="8">
        <v>480</v>
      </c>
      <c r="E91" s="3"/>
      <c r="F91" s="7">
        <f t="shared" si="20"/>
        <v>2.219985586743578E-3</v>
      </c>
      <c r="G91" s="3"/>
      <c r="H91" s="8"/>
      <c r="I91" s="3"/>
      <c r="J91" s="7">
        <f t="shared" si="21"/>
        <v>0</v>
      </c>
      <c r="K91" s="3"/>
      <c r="L91" s="8">
        <f t="shared" si="22"/>
        <v>480</v>
      </c>
      <c r="M91" s="3"/>
      <c r="N91" s="7">
        <f t="shared" si="23"/>
        <v>0</v>
      </c>
      <c r="O91" s="12"/>
      <c r="P91" s="8">
        <v>480</v>
      </c>
      <c r="Q91" s="3"/>
      <c r="R91" s="7">
        <f t="shared" si="24"/>
        <v>5.8636433200495751E-4</v>
      </c>
      <c r="S91" s="3"/>
      <c r="T91" s="8">
        <v>400</v>
      </c>
      <c r="U91" s="3"/>
      <c r="V91" s="7">
        <f t="shared" si="25"/>
        <v>1.2259844586241129E-3</v>
      </c>
      <c r="W91" s="3"/>
      <c r="X91" s="8">
        <f t="shared" si="26"/>
        <v>80</v>
      </c>
      <c r="Y91" s="3"/>
      <c r="Z91" s="7">
        <f t="shared" si="27"/>
        <v>0.2</v>
      </c>
    </row>
    <row r="92" spans="1:26" s="68" customFormat="1" ht="15" customHeight="1" outlineLevel="1" collapsed="1" x14ac:dyDescent="0.3">
      <c r="A92" s="25"/>
      <c r="B92" s="14" t="str">
        <f>CONCATENATE("     ","Travel                                            ")</f>
        <v xml:space="preserve">     Travel                                            </v>
      </c>
      <c r="C92" s="14"/>
      <c r="D92" s="2">
        <f>SUM(OSRRefD22_20x_0)</f>
        <v>122.65</v>
      </c>
      <c r="E92" s="2"/>
      <c r="F92" s="6">
        <f t="shared" si="20"/>
        <v>5.6725256711270811E-4</v>
      </c>
      <c r="G92" s="2"/>
      <c r="H92" s="2">
        <f>SUM(OSRRefH22_20x_0)</f>
        <v>0</v>
      </c>
      <c r="I92" s="2"/>
      <c r="J92" s="6">
        <f t="shared" si="21"/>
        <v>0</v>
      </c>
      <c r="K92" s="2"/>
      <c r="L92" s="2">
        <f t="shared" si="22"/>
        <v>122.65</v>
      </c>
      <c r="M92" s="2"/>
      <c r="N92" s="6">
        <f t="shared" si="23"/>
        <v>0</v>
      </c>
      <c r="O92" s="14"/>
      <c r="P92" s="2">
        <f>SUM(OSRRefP22_20x_0)</f>
        <v>141.24</v>
      </c>
      <c r="Q92" s="2"/>
      <c r="R92" s="6">
        <f t="shared" si="24"/>
        <v>1.7253770469245877E-4</v>
      </c>
      <c r="S92" s="2"/>
      <c r="T92" s="2">
        <f>SUM(OSRRefT22_20x_0)</f>
        <v>332.21</v>
      </c>
      <c r="U92" s="2"/>
      <c r="V92" s="6">
        <f t="shared" si="25"/>
        <v>1.0182107424987913E-3</v>
      </c>
      <c r="W92" s="2"/>
      <c r="X92" s="2">
        <f t="shared" si="26"/>
        <v>-190.96999999999997</v>
      </c>
      <c r="Y92" s="2"/>
      <c r="Z92" s="6">
        <f t="shared" si="27"/>
        <v>-0.5748472351825652</v>
      </c>
    </row>
    <row r="93" spans="1:26" s="69" customFormat="1" ht="15" hidden="1" customHeight="1" outlineLevel="2" x14ac:dyDescent="0.3">
      <c r="A93" s="26"/>
      <c r="B93" s="12" t="str">
        <f>CONCATENATE("          ","6292"," - ","TRAVEL/CONFERENCE")</f>
        <v xml:space="preserve">          6292 - TRAVEL/CONFERENCE</v>
      </c>
      <c r="C93" s="12"/>
      <c r="D93" s="8"/>
      <c r="E93" s="3"/>
      <c r="F93" s="7">
        <f t="shared" si="20"/>
        <v>0</v>
      </c>
      <c r="G93" s="3"/>
      <c r="H93" s="8"/>
      <c r="I93" s="3"/>
      <c r="J93" s="7">
        <f t="shared" si="21"/>
        <v>0</v>
      </c>
      <c r="K93" s="3"/>
      <c r="L93" s="8">
        <f t="shared" si="22"/>
        <v>0</v>
      </c>
      <c r="M93" s="3"/>
      <c r="N93" s="7">
        <f t="shared" si="23"/>
        <v>0</v>
      </c>
      <c r="O93" s="12"/>
      <c r="P93" s="8">
        <v>18.59</v>
      </c>
      <c r="Q93" s="3"/>
      <c r="R93" s="7">
        <f t="shared" si="24"/>
        <v>2.2709401941608668E-5</v>
      </c>
      <c r="S93" s="3"/>
      <c r="T93" s="8"/>
      <c r="U93" s="3"/>
      <c r="V93" s="7">
        <f t="shared" si="25"/>
        <v>0</v>
      </c>
      <c r="W93" s="3"/>
      <c r="X93" s="8">
        <f t="shared" si="26"/>
        <v>18.59</v>
      </c>
      <c r="Y93" s="3"/>
      <c r="Z93" s="7">
        <f t="shared" si="27"/>
        <v>0</v>
      </c>
    </row>
    <row r="94" spans="1:26" s="69" customFormat="1" ht="15" hidden="1" customHeight="1" outlineLevel="2" x14ac:dyDescent="0.3">
      <c r="A94" s="26"/>
      <c r="B94" s="12" t="str">
        <f>CONCATENATE("          ","6298"," - ","VEHICLE MILEAGE")</f>
        <v xml:space="preserve">          6298 - VEHICLE MILEAGE</v>
      </c>
      <c r="C94" s="12"/>
      <c r="D94" s="8">
        <v>122.65</v>
      </c>
      <c r="E94" s="3"/>
      <c r="F94" s="7">
        <f t="shared" si="20"/>
        <v>5.6725256711270811E-4</v>
      </c>
      <c r="G94" s="3"/>
      <c r="H94" s="8"/>
      <c r="I94" s="3"/>
      <c r="J94" s="7">
        <f t="shared" si="21"/>
        <v>0</v>
      </c>
      <c r="K94" s="3"/>
      <c r="L94" s="8">
        <f t="shared" si="22"/>
        <v>122.65</v>
      </c>
      <c r="M94" s="3"/>
      <c r="N94" s="7">
        <f t="shared" si="23"/>
        <v>0</v>
      </c>
      <c r="O94" s="12"/>
      <c r="P94" s="8">
        <v>122.65</v>
      </c>
      <c r="Q94" s="3"/>
      <c r="R94" s="7">
        <f t="shared" si="24"/>
        <v>1.498283027508501E-4</v>
      </c>
      <c r="S94" s="3"/>
      <c r="T94" s="8">
        <v>332.21</v>
      </c>
      <c r="U94" s="3"/>
      <c r="V94" s="7">
        <f t="shared" si="25"/>
        <v>1.0182107424987913E-3</v>
      </c>
      <c r="W94" s="3"/>
      <c r="X94" s="8">
        <f t="shared" si="26"/>
        <v>-209.55999999999997</v>
      </c>
      <c r="Y94" s="3"/>
      <c r="Z94" s="7">
        <f t="shared" si="27"/>
        <v>-0.63080581559856708</v>
      </c>
    </row>
    <row r="95" spans="1:26" s="68" customFormat="1" ht="15" customHeight="1" outlineLevel="1" collapsed="1" x14ac:dyDescent="0.3">
      <c r="A95" s="25"/>
      <c r="B95" s="14" t="str">
        <f>CONCATENATE("     ","Utilities                                         ")</f>
        <v xml:space="preserve">     Utilities                                         </v>
      </c>
      <c r="C95" s="14"/>
      <c r="D95" s="2">
        <f>SUM(OSRRefD22_21x_0)</f>
        <v>8150</v>
      </c>
      <c r="E95" s="2"/>
      <c r="F95" s="6">
        <f t="shared" si="20"/>
        <v>3.7693505274917001E-2</v>
      </c>
      <c r="G95" s="2"/>
      <c r="H95" s="2">
        <f>SUM(OSRRefH22_21x_0)</f>
        <v>3660</v>
      </c>
      <c r="I95" s="2"/>
      <c r="J95" s="6">
        <f t="shared" si="21"/>
        <v>7.3227899829835172E-2</v>
      </c>
      <c r="K95" s="2"/>
      <c r="L95" s="2">
        <f t="shared" si="22"/>
        <v>4490</v>
      </c>
      <c r="M95" s="2"/>
      <c r="N95" s="6">
        <f t="shared" si="23"/>
        <v>1.2267759562841529</v>
      </c>
      <c r="O95" s="14"/>
      <c r="P95" s="2">
        <f>SUM(OSRRefP22_21x_0)</f>
        <v>62800</v>
      </c>
      <c r="Q95" s="2"/>
      <c r="R95" s="6">
        <f t="shared" si="24"/>
        <v>7.6716000103981954E-2</v>
      </c>
      <c r="S95" s="2"/>
      <c r="T95" s="2">
        <f>SUM(OSRRefT22_21x_0)</f>
        <v>8312</v>
      </c>
      <c r="U95" s="2"/>
      <c r="V95" s="6">
        <f t="shared" si="25"/>
        <v>2.5475957050209067E-2</v>
      </c>
      <c r="W95" s="2"/>
      <c r="X95" s="2">
        <f t="shared" si="26"/>
        <v>54488</v>
      </c>
      <c r="Y95" s="2"/>
      <c r="Z95" s="6">
        <f t="shared" si="27"/>
        <v>6.5553416746871989</v>
      </c>
    </row>
    <row r="96" spans="1:26" s="69" customFormat="1" ht="15" hidden="1" customHeight="1" outlineLevel="2" x14ac:dyDescent="0.3">
      <c r="A96" s="26"/>
      <c r="B96" s="12" t="str">
        <f>CONCATENATE("          ","6274"," - ","UTILITIES")</f>
        <v xml:space="preserve">          6274 - UTILITIES</v>
      </c>
      <c r="C96" s="12"/>
      <c r="D96" s="8">
        <v>8150</v>
      </c>
      <c r="E96" s="3"/>
      <c r="F96" s="7">
        <f t="shared" si="20"/>
        <v>3.7693505274917001E-2</v>
      </c>
      <c r="G96" s="3"/>
      <c r="H96" s="8">
        <v>3660</v>
      </c>
      <c r="I96" s="3"/>
      <c r="J96" s="7">
        <f t="shared" si="21"/>
        <v>7.3227899829835172E-2</v>
      </c>
      <c r="K96" s="3"/>
      <c r="L96" s="8">
        <f t="shared" si="22"/>
        <v>4490</v>
      </c>
      <c r="M96" s="3"/>
      <c r="N96" s="7">
        <f t="shared" si="23"/>
        <v>1.2267759562841529</v>
      </c>
      <c r="O96" s="12"/>
      <c r="P96" s="8">
        <v>62800</v>
      </c>
      <c r="Q96" s="3"/>
      <c r="R96" s="7">
        <f t="shared" si="24"/>
        <v>7.6716000103981954E-2</v>
      </c>
      <c r="S96" s="3"/>
      <c r="T96" s="8">
        <v>8312</v>
      </c>
      <c r="U96" s="3"/>
      <c r="V96" s="7">
        <f t="shared" si="25"/>
        <v>2.5475957050209067E-2</v>
      </c>
      <c r="W96" s="3"/>
      <c r="X96" s="8">
        <f t="shared" si="26"/>
        <v>54488</v>
      </c>
      <c r="Y96" s="3"/>
      <c r="Z96" s="7">
        <f t="shared" si="27"/>
        <v>6.5553416746871989</v>
      </c>
    </row>
    <row r="97" spans="1:26" s="64" customFormat="1" ht="15" customHeight="1" x14ac:dyDescent="0.3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3">
      <c r="A98" s="11"/>
      <c r="B98" s="27" t="s">
        <v>290</v>
      </c>
      <c r="C98" s="11"/>
      <c r="D98" s="5">
        <f>SUM(OSRRefD25x_0)</f>
        <v>2073.62</v>
      </c>
      <c r="E98" s="5"/>
      <c r="F98" s="13">
        <f>IF(D$12=0,0,D98/D$12)</f>
        <v>9.5904302341317041E-3</v>
      </c>
      <c r="G98" s="5"/>
      <c r="H98" s="5">
        <f>SUM(OSRRefH25x_0)</f>
        <v>1400.8799999999999</v>
      </c>
      <c r="I98" s="5"/>
      <c r="J98" s="13">
        <f>IF(H$12=0,0,H98/H$12)</f>
        <v>2.8028278774212975E-2</v>
      </c>
      <c r="K98" s="5"/>
      <c r="L98" s="5">
        <f>+D98-H98</f>
        <v>672.74</v>
      </c>
      <c r="M98" s="5"/>
      <c r="N98" s="13">
        <f>IF(H98=0,0,L98/H98)</f>
        <v>0.48022671463651423</v>
      </c>
      <c r="O98" s="11"/>
      <c r="P98" s="5">
        <f>SUM(OSRRefP25x_0)</f>
        <v>143215.47</v>
      </c>
      <c r="Q98" s="5"/>
      <c r="R98" s="13">
        <f>IF(P$12=0,0,P98/P$12)</f>
        <v>0.17495092374859592</v>
      </c>
      <c r="S98" s="5"/>
      <c r="T98" s="5">
        <f>SUM(OSRRefT25x_0)</f>
        <v>17749.219999999998</v>
      </c>
      <c r="U98" s="5"/>
      <c r="V98" s="13">
        <f>IF(T$12=0,0,T98/T$12)</f>
        <v>5.4400669681750682E-2</v>
      </c>
      <c r="W98" s="5"/>
      <c r="X98" s="5">
        <f>+P98-T98</f>
        <v>125466.25</v>
      </c>
      <c r="Y98" s="5"/>
      <c r="Z98" s="13">
        <f>IF(T98=0,0,X98/T98)</f>
        <v>7.068831757113835</v>
      </c>
    </row>
    <row r="99" spans="1:26" s="69" customFormat="1" ht="15" hidden="1" customHeight="1" outlineLevel="1" x14ac:dyDescent="0.3">
      <c r="A99" s="42"/>
      <c r="B99" s="12" t="str">
        <f>CONCATENATE("          ","9150"," - ","MISC. INCOME")</f>
        <v xml:space="preserve">          9150 - MISC. INCOME</v>
      </c>
      <c r="C99" s="12"/>
      <c r="D99" s="3">
        <f>--2073.62</f>
        <v>2073.62</v>
      </c>
      <c r="E99" s="3"/>
      <c r="F99" s="20">
        <f>IF(D$12=0,0,D99/D$12)</f>
        <v>9.5904302341317041E-3</v>
      </c>
      <c r="G99" s="3"/>
      <c r="H99" s="3">
        <f>0</f>
        <v>0</v>
      </c>
      <c r="I99" s="3"/>
      <c r="J99" s="20">
        <f>IF(H$12=0,0,H99/H$12)</f>
        <v>0</v>
      </c>
      <c r="K99" s="3"/>
      <c r="L99" s="3">
        <f>+D99-H99</f>
        <v>2073.62</v>
      </c>
      <c r="M99" s="3"/>
      <c r="N99" s="20">
        <f>IF(H99=0,0,L99/H99)</f>
        <v>0</v>
      </c>
      <c r="O99" s="12"/>
      <c r="P99" s="3">
        <f>--143215.47</f>
        <v>143215.47</v>
      </c>
      <c r="Q99" s="3"/>
      <c r="R99" s="20">
        <f>IF(P$12=0,0,P99/P$12)</f>
        <v>0.17495092374859592</v>
      </c>
      <c r="S99" s="3"/>
      <c r="T99" s="3">
        <f>--1728.05</f>
        <v>1728.05</v>
      </c>
      <c r="U99" s="3"/>
      <c r="V99" s="20">
        <f>IF(T$12=0,0,T99/T$12)</f>
        <v>5.2964061093134958E-3</v>
      </c>
      <c r="W99" s="3"/>
      <c r="X99" s="3">
        <f>+P99-T99</f>
        <v>141487.42000000001</v>
      </c>
      <c r="Y99" s="3"/>
      <c r="Z99" s="20">
        <f>IF(T99=0,0,X99/T99)</f>
        <v>81.876924857498352</v>
      </c>
    </row>
    <row r="100" spans="1:26" s="69" customFormat="1" ht="15" hidden="1" customHeight="1" outlineLevel="1" x14ac:dyDescent="0.3">
      <c r="A100" s="42"/>
      <c r="B100" s="12" t="str">
        <f>CONCATENATE("          ","9160"," - ","MISC. INCOME")</f>
        <v xml:space="preserve">          9160 - MISC. INCOME</v>
      </c>
      <c r="C100" s="12"/>
      <c r="D100" s="3">
        <f>0</f>
        <v>0</v>
      </c>
      <c r="E100" s="3"/>
      <c r="F100" s="20">
        <f>IF(D$12=0,0,D100/D$12)</f>
        <v>0</v>
      </c>
      <c r="G100" s="3"/>
      <c r="H100" s="3">
        <f>--364.79</f>
        <v>364.79</v>
      </c>
      <c r="I100" s="3"/>
      <c r="J100" s="20">
        <f>IF(H$12=0,0,H100/H$12)</f>
        <v>7.2985807592692827E-3</v>
      </c>
      <c r="K100" s="3"/>
      <c r="L100" s="3">
        <f>+D100-H100</f>
        <v>-364.79</v>
      </c>
      <c r="M100" s="3"/>
      <c r="N100" s="20">
        <f>IF(H100=0,0,L100/H100)</f>
        <v>-1</v>
      </c>
      <c r="O100" s="12"/>
      <c r="P100" s="3">
        <f>0</f>
        <v>0</v>
      </c>
      <c r="Q100" s="3"/>
      <c r="R100" s="20">
        <f>IF(P$12=0,0,P100/P$12)</f>
        <v>0</v>
      </c>
      <c r="S100" s="3"/>
      <c r="T100" s="3">
        <f>--12882.96</f>
        <v>12882.96</v>
      </c>
      <c r="U100" s="3"/>
      <c r="V100" s="20">
        <f>IF(T$12=0,0,T100/T$12)</f>
        <v>3.9485771852690248E-2</v>
      </c>
      <c r="W100" s="3"/>
      <c r="X100" s="3">
        <f>+P100-T100</f>
        <v>-12882.96</v>
      </c>
      <c r="Y100" s="3"/>
      <c r="Z100" s="20">
        <f>IF(T100=0,0,X100/T100)</f>
        <v>-1</v>
      </c>
    </row>
    <row r="101" spans="1:26" s="69" customFormat="1" ht="15" hidden="1" customHeight="1" outlineLevel="1" x14ac:dyDescent="0.3">
      <c r="A101" s="42"/>
      <c r="B101" s="12" t="str">
        <f>CONCATENATE("          ","9165"," - ","OTHER INCOME")</f>
        <v xml:space="preserve">          9165 - OTHER INCOME</v>
      </c>
      <c r="C101" s="12"/>
      <c r="D101" s="3">
        <f>0</f>
        <v>0</v>
      </c>
      <c r="E101" s="3"/>
      <c r="F101" s="20">
        <f>IF(D$12=0,0,D101/D$12)</f>
        <v>0</v>
      </c>
      <c r="G101" s="3"/>
      <c r="H101" s="3">
        <f>--1036.09</f>
        <v>1036.0899999999999</v>
      </c>
      <c r="I101" s="3"/>
      <c r="J101" s="20">
        <f>IF(H$12=0,0,H101/H$12)</f>
        <v>2.0729698014943693E-2</v>
      </c>
      <c r="K101" s="3"/>
      <c r="L101" s="3">
        <f>+D101-H101</f>
        <v>-1036.0899999999999</v>
      </c>
      <c r="M101" s="3"/>
      <c r="N101" s="20">
        <f>IF(H101=0,0,L101/H101)</f>
        <v>-1</v>
      </c>
      <c r="O101" s="12"/>
      <c r="P101" s="3">
        <f>0</f>
        <v>0</v>
      </c>
      <c r="Q101" s="3"/>
      <c r="R101" s="20">
        <f>IF(P$12=0,0,P101/P$12)</f>
        <v>0</v>
      </c>
      <c r="S101" s="3"/>
      <c r="T101" s="3">
        <f>--3138.21</f>
        <v>3138.21</v>
      </c>
      <c r="U101" s="3"/>
      <c r="V101" s="20">
        <f>IF(T$12=0,0,T101/T$12)</f>
        <v>9.6184917197469442E-3</v>
      </c>
      <c r="W101" s="3"/>
      <c r="X101" s="3">
        <f>+P101-T101</f>
        <v>-3138.21</v>
      </c>
      <c r="Y101" s="3"/>
      <c r="Z101" s="20">
        <f>IF(T101=0,0,X101/T101)</f>
        <v>-1</v>
      </c>
    </row>
    <row r="102" spans="1:26" ht="15" customHeight="1" x14ac:dyDescent="0.3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291</v>
      </c>
      <c r="C103" s="28"/>
      <c r="D103" s="23">
        <f>+D23-D25+D98</f>
        <v>-57348.749999999935</v>
      </c>
      <c r="E103" s="15"/>
      <c r="F103" s="22">
        <f>IF(D$12=0,0,D103/D$12)</f>
        <v>-0.26523624670366797</v>
      </c>
      <c r="G103" s="15"/>
      <c r="H103" s="23">
        <f>+H23-H25+H98</f>
        <v>-51668.670000000006</v>
      </c>
      <c r="I103" s="15"/>
      <c r="J103" s="22">
        <f>IF(H$12=0,0,H103/H$12)</f>
        <v>-1.0337672653280903</v>
      </c>
      <c r="K103" s="17"/>
      <c r="L103" s="23">
        <f>+D103-H103</f>
        <v>-5680.079999999929</v>
      </c>
      <c r="M103" s="17"/>
      <c r="N103" s="22">
        <f>IF(H103=0,0,L103/H103)</f>
        <v>0.10993276970357334</v>
      </c>
      <c r="O103" s="27"/>
      <c r="P103" s="23">
        <f>+P23-P25+P98</f>
        <v>-797215.65999999968</v>
      </c>
      <c r="Q103" s="15"/>
      <c r="R103" s="22">
        <f>IF(P$12=0,0,P103/P$12)</f>
        <v>-0.97387255820789831</v>
      </c>
      <c r="S103" s="15"/>
      <c r="T103" s="23">
        <f>+T23-T25+T98</f>
        <v>-565959.37000000023</v>
      </c>
      <c r="U103" s="15"/>
      <c r="V103" s="22">
        <f>IF(T$12=0,0,T103/T$12)</f>
        <v>-1.7346434795817358</v>
      </c>
      <c r="W103" s="17"/>
      <c r="X103" s="23">
        <f>+P103-T103</f>
        <v>-231256.28999999946</v>
      </c>
      <c r="Y103" s="17"/>
      <c r="Z103" s="22">
        <f>IF(T103=0,0,X103/T103)</f>
        <v>0.4086093494661982</v>
      </c>
    </row>
    <row r="104" spans="1:26" ht="15" customHeight="1" x14ac:dyDescent="0.3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3">
      <c r="A105" s="48"/>
      <c r="B105" s="11" t="s">
        <v>292</v>
      </c>
      <c r="C105" s="11"/>
      <c r="D105" s="5">
        <v>22444.06</v>
      </c>
      <c r="E105" s="5"/>
      <c r="F105" s="13">
        <f>IF(D$12=0,0,D105/D$12)</f>
        <v>0.10380310355835015</v>
      </c>
      <c r="G105" s="5"/>
      <c r="H105" s="5">
        <v>14459.32</v>
      </c>
      <c r="I105" s="5"/>
      <c r="J105" s="13">
        <f>IF(H$12=0,0,H105/H$12)</f>
        <v>0.28929662201298695</v>
      </c>
      <c r="K105" s="5"/>
      <c r="L105" s="5">
        <f>+D105-H105</f>
        <v>7984.7400000000016</v>
      </c>
      <c r="M105" s="5"/>
      <c r="N105" s="13">
        <f>IF(H105=0,0,L105/H105)</f>
        <v>0.55222098964543298</v>
      </c>
      <c r="O105" s="11"/>
      <c r="P105" s="5">
        <v>102180.33</v>
      </c>
      <c r="Q105" s="5"/>
      <c r="R105" s="13">
        <f>IF(P$12=0,0,P105/P$12)</f>
        <v>0.12482271030103359</v>
      </c>
      <c r="S105" s="5"/>
      <c r="T105" s="5">
        <v>64612.82</v>
      </c>
      <c r="U105" s="5"/>
      <c r="V105" s="13">
        <f>IF(T$12=0,0,T105/T$12)</f>
        <v>0.19803578286969314</v>
      </c>
      <c r="W105" s="5"/>
      <c r="X105" s="5">
        <f>+P105-T105</f>
        <v>37567.51</v>
      </c>
      <c r="Y105" s="5"/>
      <c r="Z105" s="13">
        <f>IF(T105=0,0,X105/T105)</f>
        <v>0.58142501751200459</v>
      </c>
    </row>
    <row r="106" spans="1:26" ht="15" customHeight="1" x14ac:dyDescent="0.3">
      <c r="A106" s="10"/>
      <c r="B106" s="11"/>
      <c r="C106" s="11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O106" s="11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8" t="s">
        <v>293</v>
      </c>
      <c r="C107" s="28"/>
      <c r="D107" s="33">
        <f>+D103-D105</f>
        <v>-79792.809999999939</v>
      </c>
      <c r="E107" s="15"/>
      <c r="F107" s="34">
        <f>IF(D$12=0,0,D107/D$12)</f>
        <v>-0.36903935026201817</v>
      </c>
      <c r="G107" s="15"/>
      <c r="H107" s="33">
        <f>+H103-H105</f>
        <v>-66127.990000000005</v>
      </c>
      <c r="I107" s="15"/>
      <c r="J107" s="34">
        <f>IF(H$12=0,0,H107/H$12)</f>
        <v>-1.3230638873410772</v>
      </c>
      <c r="K107" s="17"/>
      <c r="L107" s="33">
        <f>D107-H107</f>
        <v>-13664.819999999934</v>
      </c>
      <c r="M107" s="17"/>
      <c r="N107" s="34">
        <f>IF(H107=0,0,L107/H107)</f>
        <v>0.20664199834290944</v>
      </c>
      <c r="O107" s="27"/>
      <c r="P107" s="33">
        <f>+P103-P105</f>
        <v>-899395.98999999964</v>
      </c>
      <c r="Q107" s="15"/>
      <c r="R107" s="34">
        <f>IF(P$12=0,0,P107/P$12)</f>
        <v>-1.0986952685089317</v>
      </c>
      <c r="S107" s="15"/>
      <c r="T107" s="33">
        <f>+T103-T105</f>
        <v>-630572.19000000018</v>
      </c>
      <c r="U107" s="15"/>
      <c r="V107" s="34">
        <f>IF(T$12=0,0,T107/T$12)</f>
        <v>-1.9326792624514286</v>
      </c>
      <c r="W107" s="17"/>
      <c r="X107" s="33">
        <f>P107-T107</f>
        <v>-268823.79999999946</v>
      </c>
      <c r="Y107" s="17"/>
      <c r="Z107" s="34">
        <f>IF(T107=0,0,X107/T107)</f>
        <v>0.42631724688016986</v>
      </c>
    </row>
    <row r="108" spans="1:26" ht="15" customHeight="1" x14ac:dyDescent="0.3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ht="15" customHeight="1" x14ac:dyDescent="0.3">
      <c r="A109" s="10"/>
      <c r="B109" s="10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296</v>
      </c>
      <c r="C110" s="28"/>
      <c r="D110" s="35">
        <f>SUM(D107:D109)</f>
        <v>-79792.809999999939</v>
      </c>
      <c r="E110" s="15"/>
      <c r="F110" s="29">
        <f>IF(D$12=0,0,D110/D$12)</f>
        <v>-0.36903935026201817</v>
      </c>
      <c r="G110" s="15"/>
      <c r="H110" s="35">
        <f>SUM(H107:H109)</f>
        <v>-66127.990000000005</v>
      </c>
      <c r="I110" s="15"/>
      <c r="J110" s="29">
        <f>IF(H$12=0,0,H110/H$12)</f>
        <v>-1.3230638873410772</v>
      </c>
      <c r="K110" s="17"/>
      <c r="L110" s="35">
        <f>+D110-H110</f>
        <v>-13664.819999999934</v>
      </c>
      <c r="M110" s="17"/>
      <c r="N110" s="29">
        <f>IF(H110=0,0,L110/H110)</f>
        <v>0.20664199834290944</v>
      </c>
      <c r="O110" s="27"/>
      <c r="P110" s="35">
        <f>SUM(P107:P109)</f>
        <v>-899395.98999999964</v>
      </c>
      <c r="Q110" s="15"/>
      <c r="R110" s="29">
        <f>IF(P$12=0,0,P110/P$12)</f>
        <v>-1.0986952685089317</v>
      </c>
      <c r="S110" s="15"/>
      <c r="T110" s="35">
        <f>SUM(T107:T109)</f>
        <v>-630572.19000000018</v>
      </c>
      <c r="U110" s="15"/>
      <c r="V110" s="29">
        <f>IF(T$12=0,0,T110/T$12)</f>
        <v>-1.9326792624514286</v>
      </c>
      <c r="W110" s="17"/>
      <c r="X110" s="35">
        <f>+P110-T110</f>
        <v>-268823.79999999946</v>
      </c>
      <c r="Y110" s="17"/>
      <c r="Z110" s="29">
        <f>IF(T110=0,0,X110/T110)</f>
        <v>0.42631724688016986</v>
      </c>
    </row>
    <row r="111" spans="1:26" ht="15" customHeight="1" x14ac:dyDescent="0.3">
      <c r="A111" s="10"/>
      <c r="C111" s="10"/>
      <c r="D111" s="18"/>
      <c r="E111" s="18"/>
      <c r="G111" s="18"/>
      <c r="H111" s="18"/>
      <c r="I111" s="18"/>
      <c r="J111" s="41"/>
      <c r="K111" s="18"/>
      <c r="L111" s="18"/>
      <c r="M111" s="18"/>
      <c r="P111" s="18"/>
      <c r="Q111" s="18"/>
      <c r="R111" s="41"/>
      <c r="S111" s="18"/>
      <c r="T111" s="18"/>
      <c r="U111" s="18"/>
      <c r="V111" s="41"/>
      <c r="W111" s="18"/>
      <c r="X111" s="18"/>
    </row>
    <row r="112" spans="1:26" ht="15" customHeight="1" x14ac:dyDescent="0.3">
      <c r="A112" s="10"/>
      <c r="B112" s="50">
        <v>44634.887769641202</v>
      </c>
      <c r="D112" s="18"/>
      <c r="E112" s="18"/>
      <c r="G112" s="18"/>
      <c r="H112" s="18"/>
      <c r="I112" s="18"/>
      <c r="J112" s="41"/>
      <c r="K112" s="18"/>
      <c r="L112" s="18"/>
      <c r="M112" s="18"/>
      <c r="P112" s="18"/>
      <c r="Q112" s="18"/>
      <c r="R112" s="41"/>
      <c r="S112" s="18"/>
      <c r="T112" s="18"/>
      <c r="U112" s="18"/>
      <c r="V112" s="41"/>
      <c r="W112" s="18"/>
      <c r="X112" s="18"/>
    </row>
    <row r="113" spans="1:24" ht="15" customHeight="1" x14ac:dyDescent="0.3">
      <c r="A113" s="10"/>
      <c r="B113" s="58" t="s">
        <v>297</v>
      </c>
      <c r="D113" s="18"/>
      <c r="E113" s="18"/>
      <c r="G113" s="18"/>
      <c r="H113" s="18"/>
      <c r="I113" s="18"/>
      <c r="J113" s="41"/>
      <c r="K113" s="18"/>
      <c r="L113" s="18"/>
      <c r="M113" s="18"/>
      <c r="P113" s="18"/>
      <c r="Q113" s="18"/>
      <c r="R113" s="41"/>
      <c r="S113" s="18"/>
      <c r="T113" s="18"/>
      <c r="U113" s="18"/>
      <c r="V113" s="41"/>
      <c r="W113" s="18"/>
      <c r="X113" s="18"/>
    </row>
    <row r="114" spans="1:24" ht="15" customHeight="1" x14ac:dyDescent="0.3">
      <c r="A114" s="10"/>
      <c r="B114" s="56"/>
      <c r="D114" s="18"/>
      <c r="E114" s="18"/>
      <c r="G114" s="18"/>
      <c r="H114" s="18"/>
      <c r="I114" s="18"/>
      <c r="J114" s="41"/>
      <c r="K114" s="18"/>
      <c r="L114" s="18"/>
      <c r="M114" s="18"/>
      <c r="P114" s="18"/>
      <c r="Q114" s="18"/>
      <c r="R114" s="41"/>
      <c r="S114" s="18"/>
      <c r="T114" s="18"/>
      <c r="U114" s="18"/>
      <c r="V114" s="41"/>
      <c r="W114" s="18"/>
      <c r="X114" s="18"/>
    </row>
    <row r="115" spans="1:24" ht="15" customHeight="1" x14ac:dyDescent="0.3">
      <c r="D115" s="18"/>
      <c r="E115" s="18"/>
      <c r="G115" s="18"/>
      <c r="H115" s="18"/>
      <c r="I115" s="18"/>
      <c r="J115" s="41"/>
      <c r="K115" s="18"/>
      <c r="L115" s="18"/>
      <c r="M115" s="18"/>
      <c r="P115" s="18"/>
      <c r="Q115" s="18"/>
      <c r="R115" s="41"/>
      <c r="S115" s="18"/>
      <c r="T115" s="18"/>
      <c r="U115" s="18"/>
      <c r="V115" s="41"/>
      <c r="W115" s="18"/>
      <c r="X115" s="18"/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0E26-B11C-C098-E7CA-7A0D0E2F6A7C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","405"," - ","Caffeine Lab")</f>
        <v>Department 405 - Caffeine Lab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88473.569999999992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88473.569999999992</v>
      </c>
      <c r="M12" s="5"/>
      <c r="N12" s="13">
        <f>IF(H12=0,0,L12/H12)</f>
        <v>0</v>
      </c>
      <c r="O12" s="11"/>
      <c r="P12" s="5">
        <f>SUM(OSRRefP13x_0)</f>
        <v>362571.44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362571.44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--19780.89</f>
        <v>19780.89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19780.89</v>
      </c>
      <c r="M13" s="3"/>
      <c r="N13" s="20">
        <f>IF(H13=0,0,L13/H13)</f>
        <v>0</v>
      </c>
      <c r="O13" s="12"/>
      <c r="P13" s="3">
        <f>--43484.05</f>
        <v>43484.05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43484.05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--68692.68</f>
        <v>68692.679999999993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68692.679999999993</v>
      </c>
      <c r="M14" s="3"/>
      <c r="N14" s="20">
        <f>IF(H14=0,0,L14/H14)</f>
        <v>0</v>
      </c>
      <c r="O14" s="12"/>
      <c r="P14" s="3">
        <f>--319087.39</f>
        <v>319087.39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319087.39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38677.869999999995</v>
      </c>
      <c r="E16" s="5"/>
      <c r="F16" s="13">
        <f>IF(D$12=0,0,D16/D$12)</f>
        <v>0.43716863691608693</v>
      </c>
      <c r="G16" s="5"/>
      <c r="H16" s="5">
        <f>SUM(OSRRefH16x_0)</f>
        <v>-2369.5500000000002</v>
      </c>
      <c r="I16" s="5"/>
      <c r="J16" s="13">
        <f>IF(H$12=0,0,H16/H$12)</f>
        <v>0</v>
      </c>
      <c r="K16" s="5"/>
      <c r="L16" s="5">
        <f>+D16-H16</f>
        <v>41047.42</v>
      </c>
      <c r="M16" s="5"/>
      <c r="N16" s="13">
        <f>IF(H16=0,0,L16/H16)</f>
        <v>-17.322875651495007</v>
      </c>
      <c r="O16" s="11"/>
      <c r="P16" s="5">
        <f>SUM(OSRRefP16x_0)</f>
        <v>157823.6</v>
      </c>
      <c r="Q16" s="5"/>
      <c r="R16" s="13">
        <f>IF(P$12=0,0,P16/P$12)</f>
        <v>0.43528966319023915</v>
      </c>
      <c r="S16" s="5"/>
      <c r="T16" s="5">
        <f>SUM(OSRRefT16x_0)</f>
        <v>-2369.5500000000002</v>
      </c>
      <c r="U16" s="5"/>
      <c r="V16" s="13">
        <f>IF(T$12=0,0,T16/T$12)</f>
        <v>0</v>
      </c>
      <c r="W16" s="5"/>
      <c r="X16" s="5">
        <f>+P16-T16</f>
        <v>160193.15</v>
      </c>
      <c r="Y16" s="5"/>
      <c r="Z16" s="13">
        <f>IF(T16=0,0,X16/T16)</f>
        <v>-67.604882783650893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25052.35</v>
      </c>
      <c r="E17" s="3"/>
      <c r="F17" s="20">
        <f>IF(D$12=0,0,D17/D$12)</f>
        <v>0.28316196577124669</v>
      </c>
      <c r="G17" s="3"/>
      <c r="H17" s="3">
        <v>-2369.5500000000002</v>
      </c>
      <c r="I17" s="3"/>
      <c r="J17" s="20">
        <f>IF(H$12=0,0,H17/H$12)</f>
        <v>0</v>
      </c>
      <c r="K17" s="3"/>
      <c r="L17" s="3">
        <f>+D17-H17</f>
        <v>27421.899999999998</v>
      </c>
      <c r="M17" s="3"/>
      <c r="N17" s="20">
        <f>IF(H17=0,0,L17/H17)</f>
        <v>-11.572619273701756</v>
      </c>
      <c r="O17" s="12"/>
      <c r="P17" s="3">
        <v>126843.88</v>
      </c>
      <c r="Q17" s="3"/>
      <c r="R17" s="20">
        <f>IF(P$12=0,0,P17/P$12)</f>
        <v>0.34984520567863814</v>
      </c>
      <c r="S17" s="3"/>
      <c r="T17" s="3">
        <v>-2369.5500000000002</v>
      </c>
      <c r="U17" s="3"/>
      <c r="V17" s="20">
        <f>IF(T$12=0,0,T17/T$12)</f>
        <v>0</v>
      </c>
      <c r="W17" s="3"/>
      <c r="X17" s="3">
        <f>+P17-T17</f>
        <v>129213.43000000001</v>
      </c>
      <c r="Y17" s="3"/>
      <c r="Z17" s="20">
        <f>IF(T17=0,0,X17/T17)</f>
        <v>-54.530788546348461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13625.52</v>
      </c>
      <c r="E18" s="3"/>
      <c r="F18" s="20">
        <f>IF(D$12=0,0,D18/D$12)</f>
        <v>0.15400667114484023</v>
      </c>
      <c r="G18" s="3"/>
      <c r="H18" s="3"/>
      <c r="I18" s="3"/>
      <c r="J18" s="20">
        <f>IF(H$12=0,0,H18/H$12)</f>
        <v>0</v>
      </c>
      <c r="K18" s="3"/>
      <c r="L18" s="3">
        <f>+D18-H18</f>
        <v>13625.52</v>
      </c>
      <c r="M18" s="3"/>
      <c r="N18" s="20">
        <f>IF(H18=0,0,L18/H18)</f>
        <v>0</v>
      </c>
      <c r="O18" s="12"/>
      <c r="P18" s="3">
        <v>30979.72</v>
      </c>
      <c r="Q18" s="3"/>
      <c r="R18" s="20">
        <f>IF(P$12=0,0,P18/P$12)</f>
        <v>8.5444457511601027E-2</v>
      </c>
      <c r="S18" s="3"/>
      <c r="T18" s="3"/>
      <c r="U18" s="3"/>
      <c r="V18" s="20">
        <f>IF(T$12=0,0,T18/T$12)</f>
        <v>0</v>
      </c>
      <c r="W18" s="3"/>
      <c r="X18" s="3">
        <f>+P18-T18</f>
        <v>30979.72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3">
        <f>D12-D16</f>
        <v>49795.7</v>
      </c>
      <c r="E20" s="15"/>
      <c r="F20" s="22">
        <f>IF(D$12=0,0,D20/D$12)</f>
        <v>0.56283136308391313</v>
      </c>
      <c r="G20" s="15"/>
      <c r="H20" s="23">
        <f>H12-H16</f>
        <v>2369.5500000000002</v>
      </c>
      <c r="I20" s="15"/>
      <c r="J20" s="22">
        <f>IF(H$12=0,0,H20/H$12)</f>
        <v>0</v>
      </c>
      <c r="K20" s="17"/>
      <c r="L20" s="23">
        <f>+D20-H20</f>
        <v>47426.149999999994</v>
      </c>
      <c r="M20" s="17"/>
      <c r="N20" s="22">
        <f>IF(H20=0,0,L20/H20)</f>
        <v>20.014834040218602</v>
      </c>
      <c r="O20" s="27"/>
      <c r="P20" s="23">
        <f>P12-P16</f>
        <v>204747.84</v>
      </c>
      <c r="Q20" s="15"/>
      <c r="R20" s="22">
        <f>IF(P$12=0,0,P20/P$12)</f>
        <v>0.56471033680976079</v>
      </c>
      <c r="S20" s="15"/>
      <c r="T20" s="23">
        <f>T12-T16</f>
        <v>2369.5500000000002</v>
      </c>
      <c r="U20" s="15"/>
      <c r="V20" s="22">
        <f>IF(T$12=0,0,T20/T$12)</f>
        <v>0</v>
      </c>
      <c r="W20" s="17"/>
      <c r="X20" s="23">
        <f>+P20-T20</f>
        <v>202378.29</v>
      </c>
      <c r="Y20" s="17"/>
      <c r="Z20" s="22">
        <f>IF(T20=0,0,X20/T20)</f>
        <v>85.407900234221685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1" cm="1">
        <f t="array" ref="D22">SUM(OSRRefD22x_0)</f>
        <v>44164.69</v>
      </c>
      <c r="E22" s="21"/>
      <c r="F22" s="30">
        <f t="shared" ref="F22:F53" si="0">IF(D$12=0,0,D22/D$12)</f>
        <v>0.49918512387371738</v>
      </c>
      <c r="G22" s="21"/>
      <c r="H22" s="21" cm="1">
        <f t="array" ref="H22">SUM(OSRRefH22x_0)</f>
        <v>5696.01</v>
      </c>
      <c r="I22" s="21"/>
      <c r="J22" s="30">
        <f t="shared" ref="J22:J53" si="1">IF(H$12=0,0,H22/H$12)</f>
        <v>0</v>
      </c>
      <c r="K22" s="5"/>
      <c r="L22" s="21">
        <f t="shared" ref="L22:L53" si="2">+D22-H22</f>
        <v>38468.68</v>
      </c>
      <c r="M22" s="5"/>
      <c r="N22" s="30">
        <f t="shared" ref="N22:N53" si="3">IF(H22=0,0,L22/H22)</f>
        <v>6.7536187612030174</v>
      </c>
      <c r="O22" s="11"/>
      <c r="P22" s="21" cm="1">
        <f t="array" ref="P22">SUM(OSRRefP22x_0)</f>
        <v>264997.06999999995</v>
      </c>
      <c r="Q22" s="21"/>
      <c r="R22" s="30">
        <f t="shared" ref="R22:R53" si="4">IF(P$12=0,0,P22/P$12)</f>
        <v>0.73088236072868829</v>
      </c>
      <c r="S22" s="21"/>
      <c r="T22" s="21" cm="1">
        <f t="array" ref="T22">SUM(OSRRefT22x_0)</f>
        <v>56582.060000000005</v>
      </c>
      <c r="U22" s="21"/>
      <c r="V22" s="30">
        <f t="shared" ref="V22:V53" si="5">IF(T$12=0,0,T22/T$12)</f>
        <v>0</v>
      </c>
      <c r="W22" s="5"/>
      <c r="X22" s="21">
        <f t="shared" ref="X22:X53" si="6">+P22-T22</f>
        <v>208415.00999999995</v>
      </c>
      <c r="Y22" s="5"/>
      <c r="Z22" s="30">
        <f t="shared" ref="Z22:Z53" si="7">IF(T22=0,0,X22/T22)</f>
        <v>3.6834114912041014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5297.03</v>
      </c>
      <c r="E23" s="2"/>
      <c r="F23" s="6">
        <f t="shared" si="0"/>
        <v>5.9871326544187156E-2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5297.03</v>
      </c>
      <c r="M23" s="2"/>
      <c r="N23" s="6">
        <f t="shared" si="3"/>
        <v>0</v>
      </c>
      <c r="O23" s="14"/>
      <c r="P23" s="2">
        <f>SUM(OSRRefP22_0x_0)</f>
        <v>35037.83</v>
      </c>
      <c r="Q23" s="2"/>
      <c r="R23" s="6">
        <f t="shared" si="4"/>
        <v>9.6637037931062639E-2</v>
      </c>
      <c r="S23" s="2"/>
      <c r="T23" s="2">
        <f>SUM(OSRRefT22_0x_0)</f>
        <v>0.83</v>
      </c>
      <c r="U23" s="2"/>
      <c r="V23" s="6">
        <f t="shared" si="5"/>
        <v>0</v>
      </c>
      <c r="W23" s="2"/>
      <c r="X23" s="2">
        <f t="shared" si="6"/>
        <v>35037</v>
      </c>
      <c r="Y23" s="2"/>
      <c r="Z23" s="6">
        <f t="shared" si="7"/>
        <v>42213.253012048197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905.51</v>
      </c>
      <c r="E24" s="3"/>
      <c r="F24" s="7">
        <f t="shared" si="0"/>
        <v>1.0234807977116782E-2</v>
      </c>
      <c r="G24" s="3"/>
      <c r="H24" s="8"/>
      <c r="I24" s="3"/>
      <c r="J24" s="7">
        <f t="shared" si="1"/>
        <v>0</v>
      </c>
      <c r="K24" s="3"/>
      <c r="L24" s="8">
        <f t="shared" si="2"/>
        <v>905.51</v>
      </c>
      <c r="M24" s="3"/>
      <c r="N24" s="7">
        <f t="shared" si="3"/>
        <v>0</v>
      </c>
      <c r="O24" s="12"/>
      <c r="P24" s="8">
        <v>6314.3</v>
      </c>
      <c r="Q24" s="3"/>
      <c r="R24" s="7">
        <f t="shared" si="4"/>
        <v>1.7415326480210356E-2</v>
      </c>
      <c r="S24" s="3"/>
      <c r="T24" s="8">
        <v>0.83</v>
      </c>
      <c r="U24" s="3"/>
      <c r="V24" s="7">
        <f t="shared" si="5"/>
        <v>0</v>
      </c>
      <c r="W24" s="3"/>
      <c r="X24" s="8">
        <f t="shared" si="6"/>
        <v>6313.47</v>
      </c>
      <c r="Y24" s="3"/>
      <c r="Z24" s="7">
        <f t="shared" si="7"/>
        <v>7606.5903614457839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712.56</v>
      </c>
      <c r="E25" s="3"/>
      <c r="F25" s="7">
        <f t="shared" si="0"/>
        <v>8.0539306823495423E-3</v>
      </c>
      <c r="G25" s="3"/>
      <c r="H25" s="8"/>
      <c r="I25" s="3"/>
      <c r="J25" s="7">
        <f t="shared" si="1"/>
        <v>0</v>
      </c>
      <c r="K25" s="3"/>
      <c r="L25" s="8">
        <f t="shared" si="2"/>
        <v>712.56</v>
      </c>
      <c r="M25" s="3"/>
      <c r="N25" s="7">
        <f t="shared" si="3"/>
        <v>0</v>
      </c>
      <c r="O25" s="12"/>
      <c r="P25" s="8">
        <v>4922.75</v>
      </c>
      <c r="Q25" s="3"/>
      <c r="R25" s="7">
        <f t="shared" si="4"/>
        <v>1.357732423712138E-2</v>
      </c>
      <c r="S25" s="3"/>
      <c r="T25" s="8"/>
      <c r="U25" s="3"/>
      <c r="V25" s="7">
        <f t="shared" si="5"/>
        <v>0</v>
      </c>
      <c r="W25" s="3"/>
      <c r="X25" s="8">
        <f t="shared" si="6"/>
        <v>4922.75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2033.2</v>
      </c>
      <c r="E26" s="3"/>
      <c r="F26" s="7">
        <f t="shared" si="0"/>
        <v>2.2980874401247742E-2</v>
      </c>
      <c r="G26" s="3"/>
      <c r="H26" s="8"/>
      <c r="I26" s="3"/>
      <c r="J26" s="7">
        <f t="shared" si="1"/>
        <v>0</v>
      </c>
      <c r="K26" s="3"/>
      <c r="L26" s="8">
        <f t="shared" si="2"/>
        <v>2033.2</v>
      </c>
      <c r="M26" s="3"/>
      <c r="N26" s="7">
        <f t="shared" si="3"/>
        <v>0</v>
      </c>
      <c r="O26" s="12"/>
      <c r="P26" s="8">
        <v>11666.23</v>
      </c>
      <c r="Q26" s="3"/>
      <c r="R26" s="7">
        <f t="shared" si="4"/>
        <v>3.217636226394445E-2</v>
      </c>
      <c r="S26" s="3"/>
      <c r="T26" s="8"/>
      <c r="U26" s="3"/>
      <c r="V26" s="7">
        <f t="shared" si="5"/>
        <v>0</v>
      </c>
      <c r="W26" s="3"/>
      <c r="X26" s="8">
        <f t="shared" si="6"/>
        <v>11666.23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51.46</v>
      </c>
      <c r="E27" s="3"/>
      <c r="F27" s="7">
        <f t="shared" si="0"/>
        <v>5.8164263067490103E-4</v>
      </c>
      <c r="G27" s="3"/>
      <c r="H27" s="8"/>
      <c r="I27" s="3"/>
      <c r="J27" s="7">
        <f t="shared" si="1"/>
        <v>0</v>
      </c>
      <c r="K27" s="3"/>
      <c r="L27" s="8">
        <f t="shared" si="2"/>
        <v>51.46</v>
      </c>
      <c r="M27" s="3"/>
      <c r="N27" s="7">
        <f t="shared" si="3"/>
        <v>0</v>
      </c>
      <c r="O27" s="12"/>
      <c r="P27" s="8">
        <v>355.53</v>
      </c>
      <c r="Q27" s="3"/>
      <c r="R27" s="7">
        <f t="shared" si="4"/>
        <v>9.8057916530877327E-4</v>
      </c>
      <c r="S27" s="3"/>
      <c r="T27" s="8"/>
      <c r="U27" s="3"/>
      <c r="V27" s="7">
        <f t="shared" si="5"/>
        <v>0</v>
      </c>
      <c r="W27" s="3"/>
      <c r="X27" s="8">
        <f t="shared" si="6"/>
        <v>355.53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408.69</v>
      </c>
      <c r="E28" s="3"/>
      <c r="F28" s="7">
        <f t="shared" si="0"/>
        <v>4.619345641867962E-3</v>
      </c>
      <c r="G28" s="3"/>
      <c r="H28" s="8"/>
      <c r="I28" s="3"/>
      <c r="J28" s="7">
        <f t="shared" si="1"/>
        <v>0</v>
      </c>
      <c r="K28" s="3"/>
      <c r="L28" s="8">
        <f t="shared" si="2"/>
        <v>408.69</v>
      </c>
      <c r="M28" s="3"/>
      <c r="N28" s="7">
        <f t="shared" si="3"/>
        <v>0</v>
      </c>
      <c r="O28" s="12"/>
      <c r="P28" s="8">
        <v>3310.39</v>
      </c>
      <c r="Q28" s="3"/>
      <c r="R28" s="7">
        <f t="shared" si="4"/>
        <v>9.130310980920063E-3</v>
      </c>
      <c r="S28" s="3"/>
      <c r="T28" s="8"/>
      <c r="U28" s="3"/>
      <c r="V28" s="7">
        <f t="shared" si="5"/>
        <v>0</v>
      </c>
      <c r="W28" s="3"/>
      <c r="X28" s="8">
        <f t="shared" si="6"/>
        <v>3310.39</v>
      </c>
      <c r="Y28" s="3"/>
      <c r="Z28" s="7">
        <f t="shared" si="7"/>
        <v>0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324.33999999999997</v>
      </c>
      <c r="E29" s="3"/>
      <c r="F29" s="7">
        <f t="shared" si="0"/>
        <v>3.6659535723493467E-3</v>
      </c>
      <c r="G29" s="3"/>
      <c r="H29" s="8"/>
      <c r="I29" s="3"/>
      <c r="J29" s="7">
        <f t="shared" si="1"/>
        <v>0</v>
      </c>
      <c r="K29" s="3"/>
      <c r="L29" s="8">
        <f t="shared" si="2"/>
        <v>324.33999999999997</v>
      </c>
      <c r="M29" s="3"/>
      <c r="N29" s="7">
        <f t="shared" si="3"/>
        <v>0</v>
      </c>
      <c r="O29" s="12"/>
      <c r="P29" s="8">
        <v>2628.51</v>
      </c>
      <c r="Q29" s="3"/>
      <c r="R29" s="7">
        <f t="shared" si="4"/>
        <v>7.2496333412251117E-3</v>
      </c>
      <c r="S29" s="3"/>
      <c r="T29" s="8"/>
      <c r="U29" s="3"/>
      <c r="V29" s="7">
        <f t="shared" si="5"/>
        <v>0</v>
      </c>
      <c r="W29" s="3"/>
      <c r="X29" s="8">
        <f t="shared" si="6"/>
        <v>2628.51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388.58</v>
      </c>
      <c r="E30" s="3"/>
      <c r="F30" s="7">
        <f t="shared" si="0"/>
        <v>4.3920461217965999E-3</v>
      </c>
      <c r="G30" s="3"/>
      <c r="H30" s="8"/>
      <c r="I30" s="3"/>
      <c r="J30" s="7">
        <f t="shared" si="1"/>
        <v>0</v>
      </c>
      <c r="K30" s="3"/>
      <c r="L30" s="8">
        <f t="shared" si="2"/>
        <v>388.58</v>
      </c>
      <c r="M30" s="3"/>
      <c r="N30" s="7">
        <f t="shared" si="3"/>
        <v>0</v>
      </c>
      <c r="O30" s="12"/>
      <c r="P30" s="8">
        <v>3058.75</v>
      </c>
      <c r="Q30" s="3"/>
      <c r="R30" s="7">
        <f t="shared" si="4"/>
        <v>8.436268449605407E-3</v>
      </c>
      <c r="S30" s="3"/>
      <c r="T30" s="8"/>
      <c r="U30" s="3"/>
      <c r="V30" s="7">
        <f t="shared" si="5"/>
        <v>0</v>
      </c>
      <c r="W30" s="3"/>
      <c r="X30" s="8">
        <f t="shared" si="6"/>
        <v>3058.75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472.69</v>
      </c>
      <c r="E31" s="3"/>
      <c r="F31" s="7">
        <f t="shared" si="0"/>
        <v>5.3427255167842781E-3</v>
      </c>
      <c r="G31" s="3"/>
      <c r="H31" s="8"/>
      <c r="I31" s="3"/>
      <c r="J31" s="7">
        <f t="shared" si="1"/>
        <v>0</v>
      </c>
      <c r="K31" s="3"/>
      <c r="L31" s="8">
        <f t="shared" si="2"/>
        <v>472.69</v>
      </c>
      <c r="M31" s="3"/>
      <c r="N31" s="7">
        <f t="shared" si="3"/>
        <v>0</v>
      </c>
      <c r="O31" s="12"/>
      <c r="P31" s="8">
        <v>2781.37</v>
      </c>
      <c r="Q31" s="3"/>
      <c r="R31" s="7">
        <f t="shared" si="4"/>
        <v>7.6712330127270915E-3</v>
      </c>
      <c r="S31" s="3"/>
      <c r="T31" s="8"/>
      <c r="U31" s="3"/>
      <c r="V31" s="7">
        <f t="shared" si="5"/>
        <v>0</v>
      </c>
      <c r="W31" s="3"/>
      <c r="X31" s="8">
        <f t="shared" si="6"/>
        <v>2781.37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23863.739999999998</v>
      </c>
      <c r="E32" s="2"/>
      <c r="F32" s="6">
        <f t="shared" si="0"/>
        <v>0.26972733212867978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23863.739999999998</v>
      </c>
      <c r="M32" s="2"/>
      <c r="N32" s="6">
        <f t="shared" si="3"/>
        <v>0</v>
      </c>
      <c r="O32" s="14"/>
      <c r="P32" s="2">
        <f>SUM(OSRRefP22_1x_0)</f>
        <v>139967.51</v>
      </c>
      <c r="Q32" s="2"/>
      <c r="R32" s="6">
        <f t="shared" si="4"/>
        <v>0.38604118956528954</v>
      </c>
      <c r="S32" s="2"/>
      <c r="T32" s="2">
        <f>SUM(OSRRefT22_1x_0)</f>
        <v>0</v>
      </c>
      <c r="U32" s="2"/>
      <c r="V32" s="6">
        <f t="shared" si="5"/>
        <v>0</v>
      </c>
      <c r="W32" s="2"/>
      <c r="X32" s="2">
        <f t="shared" si="6"/>
        <v>139967.51</v>
      </c>
      <c r="Y32" s="2"/>
      <c r="Z32" s="6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5384.62</v>
      </c>
      <c r="E33" s="3"/>
      <c r="F33" s="7">
        <f t="shared" si="0"/>
        <v>6.0861339719873411E-2</v>
      </c>
      <c r="G33" s="3"/>
      <c r="H33" s="8"/>
      <c r="I33" s="3"/>
      <c r="J33" s="7">
        <f t="shared" si="1"/>
        <v>0</v>
      </c>
      <c r="K33" s="3"/>
      <c r="L33" s="8">
        <f t="shared" si="2"/>
        <v>5384.62</v>
      </c>
      <c r="M33" s="3"/>
      <c r="N33" s="7">
        <f t="shared" si="3"/>
        <v>0</v>
      </c>
      <c r="O33" s="12"/>
      <c r="P33" s="8">
        <v>43076.800000000003</v>
      </c>
      <c r="Q33" s="3"/>
      <c r="R33" s="7">
        <f t="shared" si="4"/>
        <v>0.11880913731098071</v>
      </c>
      <c r="S33" s="3"/>
      <c r="T33" s="8"/>
      <c r="U33" s="3"/>
      <c r="V33" s="7">
        <f t="shared" si="5"/>
        <v>0</v>
      </c>
      <c r="W33" s="3"/>
      <c r="X33" s="8">
        <f t="shared" si="6"/>
        <v>43076.800000000003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3577.46</v>
      </c>
      <c r="E34" s="3"/>
      <c r="F34" s="7">
        <f t="shared" si="0"/>
        <v>4.0435352614345735E-2</v>
      </c>
      <c r="G34" s="3"/>
      <c r="H34" s="8"/>
      <c r="I34" s="3"/>
      <c r="J34" s="7">
        <f t="shared" si="1"/>
        <v>0</v>
      </c>
      <c r="K34" s="3"/>
      <c r="L34" s="8">
        <f t="shared" si="2"/>
        <v>3577.46</v>
      </c>
      <c r="M34" s="3"/>
      <c r="N34" s="7">
        <f t="shared" si="3"/>
        <v>0</v>
      </c>
      <c r="O34" s="12"/>
      <c r="P34" s="8">
        <v>16191.39</v>
      </c>
      <c r="Q34" s="3"/>
      <c r="R34" s="7">
        <f t="shared" si="4"/>
        <v>4.4657102611281238E-2</v>
      </c>
      <c r="S34" s="3"/>
      <c r="T34" s="8"/>
      <c r="U34" s="3"/>
      <c r="V34" s="7">
        <f t="shared" si="5"/>
        <v>0</v>
      </c>
      <c r="W34" s="3"/>
      <c r="X34" s="8">
        <f t="shared" si="6"/>
        <v>16191.39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4599.88</v>
      </c>
      <c r="E35" s="3"/>
      <c r="F35" s="7">
        <f t="shared" si="0"/>
        <v>5.1991572172344812E-2</v>
      </c>
      <c r="G35" s="3"/>
      <c r="H35" s="8"/>
      <c r="I35" s="3"/>
      <c r="J35" s="7">
        <f t="shared" si="1"/>
        <v>0</v>
      </c>
      <c r="K35" s="3"/>
      <c r="L35" s="8">
        <f t="shared" si="2"/>
        <v>4599.88</v>
      </c>
      <c r="M35" s="3"/>
      <c r="N35" s="7">
        <f t="shared" si="3"/>
        <v>0</v>
      </c>
      <c r="O35" s="12"/>
      <c r="P35" s="8">
        <v>18922.48</v>
      </c>
      <c r="Q35" s="3"/>
      <c r="R35" s="7">
        <f t="shared" si="4"/>
        <v>5.2189659505448086E-2</v>
      </c>
      <c r="S35" s="3"/>
      <c r="T35" s="8"/>
      <c r="U35" s="3"/>
      <c r="V35" s="7">
        <f t="shared" si="5"/>
        <v>0</v>
      </c>
      <c r="W35" s="3"/>
      <c r="X35" s="8">
        <f t="shared" si="6"/>
        <v>18922.48</v>
      </c>
      <c r="Y35" s="3"/>
      <c r="Z35" s="7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10301.780000000001</v>
      </c>
      <c r="E36" s="3"/>
      <c r="F36" s="7">
        <f t="shared" si="0"/>
        <v>0.11643906762211587</v>
      </c>
      <c r="G36" s="3"/>
      <c r="H36" s="8"/>
      <c r="I36" s="3"/>
      <c r="J36" s="7">
        <f t="shared" si="1"/>
        <v>0</v>
      </c>
      <c r="K36" s="3"/>
      <c r="L36" s="8">
        <f t="shared" si="2"/>
        <v>10301.780000000001</v>
      </c>
      <c r="M36" s="3"/>
      <c r="N36" s="7">
        <f t="shared" si="3"/>
        <v>0</v>
      </c>
      <c r="O36" s="12"/>
      <c r="P36" s="8">
        <v>61776.84</v>
      </c>
      <c r="Q36" s="3"/>
      <c r="R36" s="7">
        <f t="shared" si="4"/>
        <v>0.1703852901375795</v>
      </c>
      <c r="S36" s="3"/>
      <c r="T36" s="8"/>
      <c r="U36" s="3"/>
      <c r="V36" s="7">
        <f t="shared" si="5"/>
        <v>0</v>
      </c>
      <c r="W36" s="3"/>
      <c r="X36" s="8">
        <f t="shared" si="6"/>
        <v>61776.84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17.64</v>
      </c>
      <c r="E37" s="2"/>
      <c r="F37" s="6">
        <f t="shared" si="0"/>
        <v>1.9938157802380985E-4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17.64</v>
      </c>
      <c r="M37" s="2"/>
      <c r="N37" s="6">
        <f t="shared" si="3"/>
        <v>0</v>
      </c>
      <c r="O37" s="14"/>
      <c r="P37" s="2">
        <f>SUM(OSRRefP22_2x_0)</f>
        <v>258.61</v>
      </c>
      <c r="Q37" s="2"/>
      <c r="R37" s="6">
        <f t="shared" si="4"/>
        <v>7.1326632897505667E-4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258.61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>
        <v>17.64</v>
      </c>
      <c r="E38" s="3"/>
      <c r="F38" s="7">
        <f t="shared" si="0"/>
        <v>1.9938157802380985E-4</v>
      </c>
      <c r="G38" s="3"/>
      <c r="H38" s="8"/>
      <c r="I38" s="3"/>
      <c r="J38" s="7">
        <f t="shared" si="1"/>
        <v>0</v>
      </c>
      <c r="K38" s="3"/>
      <c r="L38" s="8">
        <f t="shared" si="2"/>
        <v>17.64</v>
      </c>
      <c r="M38" s="3"/>
      <c r="N38" s="7">
        <f t="shared" si="3"/>
        <v>0</v>
      </c>
      <c r="O38" s="12"/>
      <c r="P38" s="8">
        <v>258.61</v>
      </c>
      <c r="Q38" s="3"/>
      <c r="R38" s="7">
        <f t="shared" si="4"/>
        <v>7.1326632897505667E-4</v>
      </c>
      <c r="S38" s="3"/>
      <c r="T38" s="8"/>
      <c r="U38" s="3"/>
      <c r="V38" s="7">
        <f t="shared" si="5"/>
        <v>0</v>
      </c>
      <c r="W38" s="3"/>
      <c r="X38" s="8">
        <f t="shared" si="6"/>
        <v>258.61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","Bad Debts/Over/Short                              ")</f>
        <v xml:space="preserve">     Bad Debts/Over/Short                              </v>
      </c>
      <c r="C39" s="14"/>
      <c r="D39" s="2">
        <f>SUM(OSRRefD22_3x_0)</f>
        <v>18.84</v>
      </c>
      <c r="E39" s="2"/>
      <c r="F39" s="6">
        <f t="shared" si="0"/>
        <v>2.1294495067849078E-4</v>
      </c>
      <c r="G39" s="2"/>
      <c r="H39" s="2">
        <f>SUM(OSRRefH22_3x_0)</f>
        <v>0</v>
      </c>
      <c r="I39" s="2"/>
      <c r="J39" s="6">
        <f t="shared" si="1"/>
        <v>0</v>
      </c>
      <c r="K39" s="2"/>
      <c r="L39" s="2">
        <f t="shared" si="2"/>
        <v>18.84</v>
      </c>
      <c r="M39" s="2"/>
      <c r="N39" s="6">
        <f t="shared" si="3"/>
        <v>0</v>
      </c>
      <c r="O39" s="14"/>
      <c r="P39" s="2">
        <f>SUM(OSRRefP22_3x_0)</f>
        <v>-64.37</v>
      </c>
      <c r="Q39" s="2"/>
      <c r="R39" s="6">
        <f t="shared" si="4"/>
        <v>-1.7753742545193301E-4</v>
      </c>
      <c r="S39" s="2"/>
      <c r="T39" s="2">
        <f>SUM(OSRRefT22_3x_0)</f>
        <v>0</v>
      </c>
      <c r="U39" s="2"/>
      <c r="V39" s="6">
        <f t="shared" si="5"/>
        <v>0</v>
      </c>
      <c r="W39" s="2"/>
      <c r="X39" s="2">
        <f t="shared" si="6"/>
        <v>-64.37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","6272"," - ","CASH (OVER/SHORT)")</f>
        <v xml:space="preserve">          6272 - CASH (OVER/SHORT)</v>
      </c>
      <c r="C40" s="12"/>
      <c r="D40" s="8">
        <v>18.84</v>
      </c>
      <c r="E40" s="3"/>
      <c r="F40" s="7">
        <f t="shared" si="0"/>
        <v>2.1294495067849078E-4</v>
      </c>
      <c r="G40" s="3"/>
      <c r="H40" s="8"/>
      <c r="I40" s="3"/>
      <c r="J40" s="7">
        <f t="shared" si="1"/>
        <v>0</v>
      </c>
      <c r="K40" s="3"/>
      <c r="L40" s="8">
        <f t="shared" si="2"/>
        <v>18.84</v>
      </c>
      <c r="M40" s="3"/>
      <c r="N40" s="7">
        <f t="shared" si="3"/>
        <v>0</v>
      </c>
      <c r="O40" s="12"/>
      <c r="P40" s="8">
        <v>-64.37</v>
      </c>
      <c r="Q40" s="3"/>
      <c r="R40" s="7">
        <f t="shared" si="4"/>
        <v>-1.7753742545193301E-4</v>
      </c>
      <c r="S40" s="3"/>
      <c r="T40" s="8"/>
      <c r="U40" s="3"/>
      <c r="V40" s="7">
        <f t="shared" si="5"/>
        <v>0</v>
      </c>
      <c r="W40" s="3"/>
      <c r="X40" s="8">
        <f t="shared" si="6"/>
        <v>-64.37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","Bank/card Fees                                    ")</f>
        <v xml:space="preserve">     Bank/card Fees                                    </v>
      </c>
      <c r="C41" s="14"/>
      <c r="D41" s="2">
        <f>SUM(OSRRefD22_4x_0)</f>
        <v>2972.16</v>
      </c>
      <c r="E41" s="2"/>
      <c r="F41" s="6">
        <f t="shared" si="0"/>
        <v>3.3593761391113752E-2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2972.16</v>
      </c>
      <c r="M41" s="2"/>
      <c r="N41" s="6">
        <f t="shared" si="3"/>
        <v>0</v>
      </c>
      <c r="O41" s="14"/>
      <c r="P41" s="2">
        <f>SUM(OSRRefP22_4x_0)</f>
        <v>12868.51</v>
      </c>
      <c r="Q41" s="2"/>
      <c r="R41" s="6">
        <f t="shared" si="4"/>
        <v>3.5492343246892252E-2</v>
      </c>
      <c r="S41" s="2"/>
      <c r="T41" s="2">
        <f>SUM(OSRRefT22_4x_0)</f>
        <v>0</v>
      </c>
      <c r="U41" s="2"/>
      <c r="V41" s="6">
        <f t="shared" si="5"/>
        <v>0</v>
      </c>
      <c r="W41" s="2"/>
      <c r="X41" s="2">
        <f t="shared" si="6"/>
        <v>12868.51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","6381"," - ","BANK/CREDIT CARD FEES")</f>
        <v xml:space="preserve">          6381 - BANK/CREDIT CARD FEES</v>
      </c>
      <c r="C42" s="12"/>
      <c r="D42" s="8">
        <v>2972.16</v>
      </c>
      <c r="E42" s="3"/>
      <c r="F42" s="7">
        <f t="shared" si="0"/>
        <v>3.3593761391113752E-2</v>
      </c>
      <c r="G42" s="3"/>
      <c r="H42" s="8"/>
      <c r="I42" s="3"/>
      <c r="J42" s="7">
        <f t="shared" si="1"/>
        <v>0</v>
      </c>
      <c r="K42" s="3"/>
      <c r="L42" s="8">
        <f t="shared" si="2"/>
        <v>2972.16</v>
      </c>
      <c r="M42" s="3"/>
      <c r="N42" s="7">
        <f t="shared" si="3"/>
        <v>0</v>
      </c>
      <c r="O42" s="12"/>
      <c r="P42" s="8">
        <v>12868.51</v>
      </c>
      <c r="Q42" s="3"/>
      <c r="R42" s="7">
        <f t="shared" si="4"/>
        <v>3.5492343246892252E-2</v>
      </c>
      <c r="S42" s="3"/>
      <c r="T42" s="8"/>
      <c r="U42" s="3"/>
      <c r="V42" s="7">
        <f t="shared" si="5"/>
        <v>0</v>
      </c>
      <c r="W42" s="3"/>
      <c r="X42" s="8">
        <f t="shared" si="6"/>
        <v>12868.51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","Depreciation                                      ")</f>
        <v xml:space="preserve">     Depreciation                                      </v>
      </c>
      <c r="C43" s="14"/>
      <c r="D43" s="2">
        <f>SUM(OSRRefD22_5x_0)</f>
        <v>4626.5</v>
      </c>
      <c r="E43" s="2"/>
      <c r="F43" s="6">
        <f t="shared" si="0"/>
        <v>5.229245298906781E-2</v>
      </c>
      <c r="G43" s="2"/>
      <c r="H43" s="2">
        <f>SUM(OSRRefH22_5x_0)</f>
        <v>5233.01</v>
      </c>
      <c r="I43" s="2"/>
      <c r="J43" s="6">
        <f t="shared" si="1"/>
        <v>0</v>
      </c>
      <c r="K43" s="2"/>
      <c r="L43" s="2">
        <f t="shared" si="2"/>
        <v>-606.51000000000022</v>
      </c>
      <c r="M43" s="2"/>
      <c r="N43" s="6">
        <f t="shared" si="3"/>
        <v>-0.11590079132277603</v>
      </c>
      <c r="O43" s="14"/>
      <c r="P43" s="2">
        <f>SUM(OSRRefP22_5x_0)</f>
        <v>37012</v>
      </c>
      <c r="Q43" s="2"/>
      <c r="R43" s="6">
        <f t="shared" si="4"/>
        <v>0.10208195107700706</v>
      </c>
      <c r="S43" s="2"/>
      <c r="T43" s="2">
        <f>SUM(OSRRefT22_5x_0)</f>
        <v>42155.199999999997</v>
      </c>
      <c r="U43" s="2"/>
      <c r="V43" s="6">
        <f t="shared" si="5"/>
        <v>0</v>
      </c>
      <c r="W43" s="2"/>
      <c r="X43" s="2">
        <f t="shared" si="6"/>
        <v>-5143.1999999999971</v>
      </c>
      <c r="Y43" s="2"/>
      <c r="Z43" s="6">
        <f t="shared" si="7"/>
        <v>-0.12200630052757423</v>
      </c>
    </row>
    <row r="44" spans="1:26" s="69" customFormat="1" ht="15" hidden="1" customHeight="1" outlineLevel="2" x14ac:dyDescent="0.3">
      <c r="A44" s="26"/>
      <c r="B44" s="12" t="str">
        <f>CONCATENATE("          ","6321"," - ","BUILDING DEPRECIATION")</f>
        <v xml:space="preserve">          6321 - BUILDING DEPRECIATION</v>
      </c>
      <c r="C44" s="12"/>
      <c r="D44" s="8">
        <v>4626.5</v>
      </c>
      <c r="E44" s="3"/>
      <c r="F44" s="7">
        <f t="shared" si="0"/>
        <v>5.229245298906781E-2</v>
      </c>
      <c r="G44" s="3"/>
      <c r="H44" s="8">
        <v>4626.5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37012</v>
      </c>
      <c r="Q44" s="3"/>
      <c r="R44" s="7">
        <f t="shared" si="4"/>
        <v>0.10208195107700706</v>
      </c>
      <c r="S44" s="3"/>
      <c r="T44" s="8">
        <v>37012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hidden="1" customHeight="1" outlineLevel="2" x14ac:dyDescent="0.3">
      <c r="A45" s="26"/>
      <c r="B45" s="12" t="str">
        <f>CONCATENATE("          ","6322"," - ","EQUIPMENT DEPRECIATION EXPENSE")</f>
        <v xml:space="preserve">          6322 - EQUIPMENT DEPRECIATION EXPENSE</v>
      </c>
      <c r="C45" s="12"/>
      <c r="D45" s="8"/>
      <c r="E45" s="3"/>
      <c r="F45" s="7">
        <f t="shared" si="0"/>
        <v>0</v>
      </c>
      <c r="G45" s="3"/>
      <c r="H45" s="8">
        <v>606.51</v>
      </c>
      <c r="I45" s="3"/>
      <c r="J45" s="7">
        <f t="shared" si="1"/>
        <v>0</v>
      </c>
      <c r="K45" s="3"/>
      <c r="L45" s="8">
        <f t="shared" si="2"/>
        <v>-606.51</v>
      </c>
      <c r="M45" s="3"/>
      <c r="N45" s="7">
        <f t="shared" si="3"/>
        <v>-1</v>
      </c>
      <c r="O45" s="12"/>
      <c r="P45" s="8"/>
      <c r="Q45" s="3"/>
      <c r="R45" s="7">
        <f t="shared" si="4"/>
        <v>0</v>
      </c>
      <c r="S45" s="3"/>
      <c r="T45" s="8">
        <v>5143.2</v>
      </c>
      <c r="U45" s="3"/>
      <c r="V45" s="7">
        <f t="shared" si="5"/>
        <v>0</v>
      </c>
      <c r="W45" s="3"/>
      <c r="X45" s="8">
        <f t="shared" si="6"/>
        <v>-5143.2</v>
      </c>
      <c r="Y45" s="3"/>
      <c r="Z45" s="7">
        <f t="shared" si="7"/>
        <v>-1</v>
      </c>
    </row>
    <row r="46" spans="1:26" s="68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246.92</v>
      </c>
      <c r="Q46" s="2"/>
      <c r="R46" s="6">
        <f t="shared" si="4"/>
        <v>6.8102440721751277E-4</v>
      </c>
      <c r="S46" s="2"/>
      <c r="T46" s="2">
        <f>SUM(OSRRefT22_6x_0)</f>
        <v>0</v>
      </c>
      <c r="U46" s="2"/>
      <c r="V46" s="6">
        <f t="shared" si="5"/>
        <v>0</v>
      </c>
      <c r="W46" s="2"/>
      <c r="X46" s="2">
        <f t="shared" si="6"/>
        <v>246.92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246.92</v>
      </c>
      <c r="Q47" s="3"/>
      <c r="R47" s="7">
        <f t="shared" si="4"/>
        <v>6.8102440721751277E-4</v>
      </c>
      <c r="S47" s="3"/>
      <c r="T47" s="8"/>
      <c r="U47" s="3"/>
      <c r="V47" s="7">
        <f t="shared" si="5"/>
        <v>0</v>
      </c>
      <c r="W47" s="3"/>
      <c r="X47" s="8">
        <f t="shared" si="6"/>
        <v>246.92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0</v>
      </c>
      <c r="Q48" s="2"/>
      <c r="R48" s="6">
        <f t="shared" si="4"/>
        <v>0</v>
      </c>
      <c r="S48" s="2"/>
      <c r="T48" s="2">
        <f>SUM(OSRRefT22_7x_0)</f>
        <v>96.3</v>
      </c>
      <c r="U48" s="2"/>
      <c r="V48" s="6">
        <f t="shared" si="5"/>
        <v>0</v>
      </c>
      <c r="W48" s="2"/>
      <c r="X48" s="2">
        <f t="shared" si="6"/>
        <v>-96.3</v>
      </c>
      <c r="Y48" s="2"/>
      <c r="Z48" s="6">
        <f t="shared" si="7"/>
        <v>-1</v>
      </c>
    </row>
    <row r="49" spans="1:26" s="69" customFormat="1" ht="15" hidden="1" customHeight="1" outlineLevel="2" x14ac:dyDescent="0.3">
      <c r="A49" s="26"/>
      <c r="B49" s="12" t="str">
        <f>CONCATENATE("          ","6351"," - ","EQUIPMENT RENTAL")</f>
        <v xml:space="preserve">          6351 - EQUIPMENT RENTAL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/>
      <c r="Q49" s="3"/>
      <c r="R49" s="7">
        <f t="shared" si="4"/>
        <v>0</v>
      </c>
      <c r="S49" s="3"/>
      <c r="T49" s="8">
        <v>96.3</v>
      </c>
      <c r="U49" s="3"/>
      <c r="V49" s="7">
        <f t="shared" si="5"/>
        <v>0</v>
      </c>
      <c r="W49" s="3"/>
      <c r="X49" s="8">
        <f t="shared" si="6"/>
        <v>-96.3</v>
      </c>
      <c r="Y49" s="3"/>
      <c r="Z49" s="7">
        <f t="shared" si="7"/>
        <v>-1</v>
      </c>
    </row>
    <row r="50" spans="1:26" s="68" customFormat="1" ht="15" customHeight="1" outlineLevel="1" collapsed="1" x14ac:dyDescent="0.3">
      <c r="A50" s="25"/>
      <c r="B50" s="14" t="str">
        <f>CONCATENATE("     ","General                                           ")</f>
        <v xml:space="preserve">     General                                           </v>
      </c>
      <c r="C50" s="14"/>
      <c r="D50" s="2">
        <f>SUM(OSRRefD22_8x_0)</f>
        <v>0</v>
      </c>
      <c r="E50" s="2"/>
      <c r="F50" s="6">
        <f t="shared" si="0"/>
        <v>0</v>
      </c>
      <c r="G50" s="2"/>
      <c r="H50" s="2">
        <f>SUM(OSRRefH22_8x_0)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SUM(OSRRefP22_8x_0)</f>
        <v>1893.3</v>
      </c>
      <c r="Q50" s="2"/>
      <c r="R50" s="6">
        <f t="shared" si="4"/>
        <v>5.221867447695273E-3</v>
      </c>
      <c r="S50" s="2"/>
      <c r="T50" s="2">
        <f>SUM(OSRRefT22_8x_0)</f>
        <v>0</v>
      </c>
      <c r="U50" s="2"/>
      <c r="V50" s="6">
        <f t="shared" si="5"/>
        <v>0</v>
      </c>
      <c r="W50" s="2"/>
      <c r="X50" s="2">
        <f t="shared" si="6"/>
        <v>1893.3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","6279"," - ","GENERAL EXPENSE")</f>
        <v xml:space="preserve">          6279 - GENERAL EXPENSE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1893.3</v>
      </c>
      <c r="Q51" s="3"/>
      <c r="R51" s="7">
        <f t="shared" si="4"/>
        <v>5.221867447695273E-3</v>
      </c>
      <c r="S51" s="3"/>
      <c r="T51" s="8">
        <v>0</v>
      </c>
      <c r="U51" s="3"/>
      <c r="V51" s="7">
        <f t="shared" si="5"/>
        <v>0</v>
      </c>
      <c r="W51" s="3"/>
      <c r="X51" s="8">
        <f t="shared" si="6"/>
        <v>1893.3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","Rent                                              ")</f>
        <v xml:space="preserve">     Rent                                              </v>
      </c>
      <c r="C52" s="14"/>
      <c r="D52" s="2">
        <f>SUM(OSRRefD22_9x_0)</f>
        <v>1850</v>
      </c>
      <c r="E52" s="2"/>
      <c r="F52" s="6">
        <f t="shared" si="0"/>
        <v>2.0910199509299784E-2</v>
      </c>
      <c r="G52" s="2"/>
      <c r="H52" s="2">
        <f>SUM(OSRRefH22_9x_0)</f>
        <v>0</v>
      </c>
      <c r="I52" s="2"/>
      <c r="J52" s="6">
        <f t="shared" si="1"/>
        <v>0</v>
      </c>
      <c r="K52" s="2"/>
      <c r="L52" s="2">
        <f t="shared" si="2"/>
        <v>1850</v>
      </c>
      <c r="M52" s="2"/>
      <c r="N52" s="6">
        <f t="shared" si="3"/>
        <v>0</v>
      </c>
      <c r="O52" s="14"/>
      <c r="P52" s="2">
        <f>SUM(OSRRefP22_9x_0)</f>
        <v>14800</v>
      </c>
      <c r="Q52" s="2"/>
      <c r="R52" s="6">
        <f t="shared" si="4"/>
        <v>4.0819541660534545E-2</v>
      </c>
      <c r="S52" s="2"/>
      <c r="T52" s="2">
        <f>SUM(OSRRefT22_9x_0)</f>
        <v>11100</v>
      </c>
      <c r="U52" s="2"/>
      <c r="V52" s="6">
        <f t="shared" si="5"/>
        <v>0</v>
      </c>
      <c r="W52" s="2"/>
      <c r="X52" s="2">
        <f t="shared" si="6"/>
        <v>3700</v>
      </c>
      <c r="Y52" s="2"/>
      <c r="Z52" s="6">
        <f t="shared" si="7"/>
        <v>0.33333333333333331</v>
      </c>
    </row>
    <row r="53" spans="1:26" s="69" customFormat="1" ht="15" hidden="1" customHeight="1" outlineLevel="2" x14ac:dyDescent="0.3">
      <c r="A53" s="26"/>
      <c r="B53" s="12" t="str">
        <f>CONCATENATE("          ","6273"," - ","RENT")</f>
        <v xml:space="preserve">          6273 - RENT</v>
      </c>
      <c r="C53" s="12"/>
      <c r="D53" s="8">
        <v>1850</v>
      </c>
      <c r="E53" s="3"/>
      <c r="F53" s="7">
        <f t="shared" si="0"/>
        <v>2.0910199509299784E-2</v>
      </c>
      <c r="G53" s="3"/>
      <c r="H53" s="8"/>
      <c r="I53" s="3"/>
      <c r="J53" s="7">
        <f t="shared" si="1"/>
        <v>0</v>
      </c>
      <c r="K53" s="3"/>
      <c r="L53" s="8">
        <f t="shared" si="2"/>
        <v>1850</v>
      </c>
      <c r="M53" s="3"/>
      <c r="N53" s="7">
        <f t="shared" si="3"/>
        <v>0</v>
      </c>
      <c r="O53" s="12"/>
      <c r="P53" s="8">
        <v>14800</v>
      </c>
      <c r="Q53" s="3"/>
      <c r="R53" s="7">
        <f t="shared" si="4"/>
        <v>4.0819541660534545E-2</v>
      </c>
      <c r="S53" s="3"/>
      <c r="T53" s="8">
        <v>11100</v>
      </c>
      <c r="U53" s="3"/>
      <c r="V53" s="7">
        <f t="shared" si="5"/>
        <v>0</v>
      </c>
      <c r="W53" s="3"/>
      <c r="X53" s="8">
        <f t="shared" si="6"/>
        <v>3700</v>
      </c>
      <c r="Y53" s="3"/>
      <c r="Z53" s="7">
        <f t="shared" si="7"/>
        <v>0.33333333333333331</v>
      </c>
    </row>
    <row r="54" spans="1:26" s="68" customFormat="1" ht="15" customHeight="1" outlineLevel="1" collapsed="1" x14ac:dyDescent="0.3">
      <c r="A54" s="25"/>
      <c r="B54" s="14" t="str">
        <f>CONCATENATE("     ","Repair and Maintenance                            ")</f>
        <v xml:space="preserve">     Repair and Maintenance                            </v>
      </c>
      <c r="C54" s="14"/>
      <c r="D54" s="2">
        <f>SUM(OSRRefD22_10x_0)</f>
        <v>1713.78</v>
      </c>
      <c r="E54" s="2"/>
      <c r="F54" s="6">
        <f t="shared" ref="F54:F78" si="8">IF(D$12=0,0,D54/D$12)</f>
        <v>1.9370530656782587E-2</v>
      </c>
      <c r="G54" s="2"/>
      <c r="H54" s="2">
        <f>SUM(OSRRefH22_10x_0)</f>
        <v>0</v>
      </c>
      <c r="I54" s="2"/>
      <c r="J54" s="6">
        <f t="shared" ref="J54:J78" si="9">IF(H$12=0,0,H54/H$12)</f>
        <v>0</v>
      </c>
      <c r="K54" s="2"/>
      <c r="L54" s="2">
        <f t="shared" ref="L54:L78" si="10">+D54-H54</f>
        <v>1713.78</v>
      </c>
      <c r="M54" s="2"/>
      <c r="N54" s="6">
        <f t="shared" ref="N54:N78" si="11">IF(H54=0,0,L54/H54)</f>
        <v>0</v>
      </c>
      <c r="O54" s="14"/>
      <c r="P54" s="2">
        <f>SUM(OSRRefP22_10x_0)</f>
        <v>5443.01</v>
      </c>
      <c r="Q54" s="2"/>
      <c r="R54" s="6">
        <f t="shared" ref="R54:R78" si="12">IF(P$12=0,0,P54/P$12)</f>
        <v>1.5012241449574738E-2</v>
      </c>
      <c r="S54" s="2"/>
      <c r="T54" s="2">
        <f>SUM(OSRRefT22_10x_0)</f>
        <v>765.3</v>
      </c>
      <c r="U54" s="2"/>
      <c r="V54" s="6">
        <f t="shared" ref="V54:V78" si="13">IF(T$12=0,0,T54/T$12)</f>
        <v>0</v>
      </c>
      <c r="W54" s="2"/>
      <c r="X54" s="2">
        <f t="shared" ref="X54:X78" si="14">+P54-T54</f>
        <v>4677.71</v>
      </c>
      <c r="Y54" s="2"/>
      <c r="Z54" s="6">
        <f t="shared" ref="Z54:Z78" si="15">IF(T54=0,0,X54/T54)</f>
        <v>6.1122566313863844</v>
      </c>
    </row>
    <row r="55" spans="1:26" s="69" customFormat="1" ht="15" hidden="1" customHeight="1" outlineLevel="2" x14ac:dyDescent="0.3">
      <c r="A55" s="26"/>
      <c r="B55" s="12" t="str">
        <f>CONCATENATE("          ","6373"," - ","MAINTENANCE CONTRACTS")</f>
        <v xml:space="preserve">          6373 - MAINTENANCE CONTRACTS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146.75</v>
      </c>
      <c r="Q55" s="3"/>
      <c r="R55" s="7">
        <f t="shared" si="12"/>
        <v>4.0474782018131377E-4</v>
      </c>
      <c r="S55" s="3"/>
      <c r="T55" s="8">
        <v>223.3</v>
      </c>
      <c r="U55" s="3"/>
      <c r="V55" s="7">
        <f t="shared" si="13"/>
        <v>0</v>
      </c>
      <c r="W55" s="3"/>
      <c r="X55" s="8">
        <f t="shared" si="14"/>
        <v>-76.550000000000011</v>
      </c>
      <c r="Y55" s="3"/>
      <c r="Z55" s="7">
        <f t="shared" si="15"/>
        <v>-0.34281236005373938</v>
      </c>
    </row>
    <row r="56" spans="1:26" s="69" customFormat="1" ht="15" hidden="1" customHeight="1" outlineLevel="2" x14ac:dyDescent="0.3">
      <c r="A56" s="26"/>
      <c r="B56" s="12" t="str">
        <f>CONCATENATE("          ","6375"," - ","OUTSIDE REPAIRS &amp; MAINTENANCE")</f>
        <v xml:space="preserve">          6375 - OUTSIDE REPAIRS &amp; MAINTENANCE</v>
      </c>
      <c r="C56" s="12"/>
      <c r="D56" s="8">
        <v>1713.78</v>
      </c>
      <c r="E56" s="3"/>
      <c r="F56" s="7">
        <f t="shared" si="8"/>
        <v>1.9370530656782587E-2</v>
      </c>
      <c r="G56" s="3"/>
      <c r="H56" s="8"/>
      <c r="I56" s="3"/>
      <c r="J56" s="7">
        <f t="shared" si="9"/>
        <v>0</v>
      </c>
      <c r="K56" s="3"/>
      <c r="L56" s="8">
        <f t="shared" si="10"/>
        <v>1713.78</v>
      </c>
      <c r="M56" s="3"/>
      <c r="N56" s="7">
        <f t="shared" si="11"/>
        <v>0</v>
      </c>
      <c r="O56" s="12"/>
      <c r="P56" s="8">
        <v>5296.26</v>
      </c>
      <c r="Q56" s="3"/>
      <c r="R56" s="7">
        <f t="shared" si="12"/>
        <v>1.4607493629393424E-2</v>
      </c>
      <c r="S56" s="3"/>
      <c r="T56" s="8">
        <v>542</v>
      </c>
      <c r="U56" s="3"/>
      <c r="V56" s="7">
        <f t="shared" si="13"/>
        <v>0</v>
      </c>
      <c r="W56" s="3"/>
      <c r="X56" s="8">
        <f t="shared" si="14"/>
        <v>4754.26</v>
      </c>
      <c r="Y56" s="3"/>
      <c r="Z56" s="7">
        <f t="shared" si="15"/>
        <v>8.7716974169741704</v>
      </c>
    </row>
    <row r="57" spans="1:26" s="68" customFormat="1" ht="15" customHeight="1" outlineLevel="1" collapsed="1" x14ac:dyDescent="0.3">
      <c r="A57" s="25"/>
      <c r="B57" s="14" t="str">
        <f>CONCATENATE("     ","Services                                          ")</f>
        <v xml:space="preserve">     Services                                          </v>
      </c>
      <c r="C57" s="14"/>
      <c r="D57" s="2">
        <f>SUM(OSRRefD22_11x_0)</f>
        <v>246.4</v>
      </c>
      <c r="E57" s="2"/>
      <c r="F57" s="6">
        <f t="shared" si="8"/>
        <v>2.7850125184278201E-3</v>
      </c>
      <c r="G57" s="2"/>
      <c r="H57" s="2">
        <f>SUM(OSRRefH22_11x_0)</f>
        <v>115</v>
      </c>
      <c r="I57" s="2"/>
      <c r="J57" s="6">
        <f t="shared" si="9"/>
        <v>0</v>
      </c>
      <c r="K57" s="2"/>
      <c r="L57" s="2">
        <f t="shared" si="10"/>
        <v>131.4</v>
      </c>
      <c r="M57" s="2"/>
      <c r="N57" s="6">
        <f t="shared" si="11"/>
        <v>1.1426086956521739</v>
      </c>
      <c r="O57" s="14"/>
      <c r="P57" s="2">
        <f>SUM(OSRRefP22_11x_0)</f>
        <v>5097.7</v>
      </c>
      <c r="Q57" s="2"/>
      <c r="R57" s="6">
        <f t="shared" si="12"/>
        <v>1.4059849832628847E-2</v>
      </c>
      <c r="S57" s="2"/>
      <c r="T57" s="2">
        <f>SUM(OSRRefT22_11x_0)</f>
        <v>575</v>
      </c>
      <c r="U57" s="2"/>
      <c r="V57" s="6">
        <f t="shared" si="13"/>
        <v>0</v>
      </c>
      <c r="W57" s="2"/>
      <c r="X57" s="2">
        <f t="shared" si="14"/>
        <v>4522.7</v>
      </c>
      <c r="Y57" s="2"/>
      <c r="Z57" s="6">
        <f t="shared" si="15"/>
        <v>7.8655652173913042</v>
      </c>
    </row>
    <row r="58" spans="1:26" s="69" customFormat="1" ht="15" hidden="1" customHeight="1" outlineLevel="2" x14ac:dyDescent="0.3">
      <c r="A58" s="26"/>
      <c r="B58" s="12" t="str">
        <f>CONCATENATE("          ","6282"," - ","JANITORIAL/EXTERMINATOR EXPENS")</f>
        <v xml:space="preserve">          6282 - JANITORIAL/EXTERMINATOR EXPENS</v>
      </c>
      <c r="C58" s="12"/>
      <c r="D58" s="8">
        <v>190</v>
      </c>
      <c r="E58" s="3"/>
      <c r="F58" s="7">
        <f t="shared" si="8"/>
        <v>2.1475340036578158E-3</v>
      </c>
      <c r="G58" s="3"/>
      <c r="H58" s="8"/>
      <c r="I58" s="3"/>
      <c r="J58" s="7">
        <f t="shared" si="9"/>
        <v>0</v>
      </c>
      <c r="K58" s="3"/>
      <c r="L58" s="8">
        <f t="shared" si="10"/>
        <v>190</v>
      </c>
      <c r="M58" s="3"/>
      <c r="N58" s="7">
        <f t="shared" si="11"/>
        <v>0</v>
      </c>
      <c r="O58" s="12"/>
      <c r="P58" s="8">
        <v>641.86</v>
      </c>
      <c r="Q58" s="3"/>
      <c r="R58" s="7">
        <f t="shared" si="12"/>
        <v>1.7702993925831556E-3</v>
      </c>
      <c r="S58" s="3"/>
      <c r="T58" s="8"/>
      <c r="U58" s="3"/>
      <c r="V58" s="7">
        <f t="shared" si="13"/>
        <v>0</v>
      </c>
      <c r="W58" s="3"/>
      <c r="X58" s="8">
        <f t="shared" si="14"/>
        <v>641.86</v>
      </c>
      <c r="Y58" s="3"/>
      <c r="Z58" s="7">
        <f t="shared" si="15"/>
        <v>0</v>
      </c>
    </row>
    <row r="59" spans="1:26" s="69" customFormat="1" ht="15" hidden="1" customHeight="1" outlineLevel="2" x14ac:dyDescent="0.3">
      <c r="A59" s="26"/>
      <c r="B59" s="12" t="str">
        <f>CONCATENATE("          ","6284"," - ","TRASH REMOVAL EXPENSE")</f>
        <v xml:space="preserve">          6284 - TRASH REMOVAL EXPENSE</v>
      </c>
      <c r="C59" s="12"/>
      <c r="D59" s="8"/>
      <c r="E59" s="3"/>
      <c r="F59" s="7">
        <f t="shared" si="8"/>
        <v>0</v>
      </c>
      <c r="G59" s="3"/>
      <c r="H59" s="8">
        <v>115</v>
      </c>
      <c r="I59" s="3"/>
      <c r="J59" s="7">
        <f t="shared" si="9"/>
        <v>0</v>
      </c>
      <c r="K59" s="3"/>
      <c r="L59" s="8">
        <f t="shared" si="10"/>
        <v>-115</v>
      </c>
      <c r="M59" s="3"/>
      <c r="N59" s="7">
        <f t="shared" si="11"/>
        <v>-1</v>
      </c>
      <c r="O59" s="12"/>
      <c r="P59" s="8"/>
      <c r="Q59" s="3"/>
      <c r="R59" s="7">
        <f t="shared" si="12"/>
        <v>0</v>
      </c>
      <c r="S59" s="3"/>
      <c r="T59" s="8">
        <v>575</v>
      </c>
      <c r="U59" s="3"/>
      <c r="V59" s="7">
        <f t="shared" si="13"/>
        <v>0</v>
      </c>
      <c r="W59" s="3"/>
      <c r="X59" s="8">
        <f t="shared" si="14"/>
        <v>-575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6"/>
      <c r="B60" s="12" t="str">
        <f>CONCATENATE("          ","6285"," - ","JANITORIAL SERVICES")</f>
        <v xml:space="preserve">          6285 - JANITORIAL SERVICES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3660</v>
      </c>
      <c r="Q60" s="3"/>
      <c r="R60" s="7">
        <f t="shared" si="12"/>
        <v>1.0094562329564623E-2</v>
      </c>
      <c r="S60" s="3"/>
      <c r="T60" s="8"/>
      <c r="U60" s="3"/>
      <c r="V60" s="7">
        <f t="shared" si="13"/>
        <v>0</v>
      </c>
      <c r="W60" s="3"/>
      <c r="X60" s="8">
        <f t="shared" si="14"/>
        <v>3660</v>
      </c>
      <c r="Y60" s="3"/>
      <c r="Z60" s="7">
        <f t="shared" si="15"/>
        <v>0</v>
      </c>
    </row>
    <row r="61" spans="1:26" s="69" customFormat="1" ht="15" hidden="1" customHeight="1" outlineLevel="2" x14ac:dyDescent="0.3">
      <c r="A61" s="26"/>
      <c r="B61" s="12" t="str">
        <f>CONCATENATE("          ","6286"," - ","LAUNDRY EXPENSE")</f>
        <v xml:space="preserve">          6286 - LAUNDRY EXPENSE</v>
      </c>
      <c r="C61" s="12"/>
      <c r="D61" s="8">
        <v>56.4</v>
      </c>
      <c r="E61" s="3"/>
      <c r="F61" s="7">
        <f t="shared" si="8"/>
        <v>6.3747851477000421E-4</v>
      </c>
      <c r="G61" s="3"/>
      <c r="H61" s="8"/>
      <c r="I61" s="3"/>
      <c r="J61" s="7">
        <f t="shared" si="9"/>
        <v>0</v>
      </c>
      <c r="K61" s="3"/>
      <c r="L61" s="8">
        <f t="shared" si="10"/>
        <v>56.4</v>
      </c>
      <c r="M61" s="3"/>
      <c r="N61" s="7">
        <f t="shared" si="11"/>
        <v>0</v>
      </c>
      <c r="O61" s="12"/>
      <c r="P61" s="8">
        <v>795.84</v>
      </c>
      <c r="Q61" s="3"/>
      <c r="R61" s="7">
        <f t="shared" si="12"/>
        <v>2.1949881104810685E-3</v>
      </c>
      <c r="S61" s="3"/>
      <c r="T61" s="8"/>
      <c r="U61" s="3"/>
      <c r="V61" s="7">
        <f t="shared" si="13"/>
        <v>0</v>
      </c>
      <c r="W61" s="3"/>
      <c r="X61" s="8">
        <f t="shared" si="14"/>
        <v>795.84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5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SUM(OSRRefD22_12x_0)</f>
        <v>17.95</v>
      </c>
      <c r="E62" s="2"/>
      <c r="F62" s="6">
        <f t="shared" si="8"/>
        <v>2.0288544929293573E-4</v>
      </c>
      <c r="G62" s="2"/>
      <c r="H62" s="2">
        <f>SUM(OSRRefH22_12x_0)</f>
        <v>0</v>
      </c>
      <c r="I62" s="2"/>
      <c r="J62" s="6">
        <f t="shared" si="9"/>
        <v>0</v>
      </c>
      <c r="K62" s="2"/>
      <c r="L62" s="2">
        <f t="shared" si="10"/>
        <v>17.95</v>
      </c>
      <c r="M62" s="2"/>
      <c r="N62" s="6">
        <f t="shared" si="11"/>
        <v>0</v>
      </c>
      <c r="O62" s="14"/>
      <c r="P62" s="2">
        <f>SUM(OSRRefP22_12x_0)</f>
        <v>271.79000000000002</v>
      </c>
      <c r="Q62" s="2"/>
      <c r="R62" s="6">
        <f t="shared" si="12"/>
        <v>7.4961778567004622E-4</v>
      </c>
      <c r="S62" s="2"/>
      <c r="T62" s="2">
        <f>SUM(OSRRefT22_12x_0)</f>
        <v>0</v>
      </c>
      <c r="U62" s="2"/>
      <c r="V62" s="6">
        <f t="shared" si="13"/>
        <v>0</v>
      </c>
      <c r="W62" s="2"/>
      <c r="X62" s="2">
        <f t="shared" si="14"/>
        <v>271.79000000000002</v>
      </c>
      <c r="Y62" s="2"/>
      <c r="Z62" s="6">
        <f t="shared" si="15"/>
        <v>0</v>
      </c>
    </row>
    <row r="63" spans="1:26" s="69" customFormat="1" ht="15" hidden="1" customHeight="1" outlineLevel="2" x14ac:dyDescent="0.3">
      <c r="A63" s="26"/>
      <c r="B63" s="12" t="str">
        <f>CONCATENATE("          ","6275"," - ","SUBSCRIPTIONS")</f>
        <v xml:space="preserve">          6275 - SUBSCRIPTIONS</v>
      </c>
      <c r="C63" s="12"/>
      <c r="D63" s="8">
        <v>17.95</v>
      </c>
      <c r="E63" s="3"/>
      <c r="F63" s="7">
        <f t="shared" si="8"/>
        <v>2.0288544929293573E-4</v>
      </c>
      <c r="G63" s="3"/>
      <c r="H63" s="8"/>
      <c r="I63" s="3"/>
      <c r="J63" s="7">
        <f t="shared" si="9"/>
        <v>0</v>
      </c>
      <c r="K63" s="3"/>
      <c r="L63" s="8">
        <f t="shared" si="10"/>
        <v>17.95</v>
      </c>
      <c r="M63" s="3"/>
      <c r="N63" s="7">
        <f t="shared" si="11"/>
        <v>0</v>
      </c>
      <c r="O63" s="12"/>
      <c r="P63" s="8">
        <v>271.79000000000002</v>
      </c>
      <c r="Q63" s="3"/>
      <c r="R63" s="7">
        <f t="shared" si="12"/>
        <v>7.4961778567004622E-4</v>
      </c>
      <c r="S63" s="3"/>
      <c r="T63" s="8"/>
      <c r="U63" s="3"/>
      <c r="V63" s="7">
        <f t="shared" si="13"/>
        <v>0</v>
      </c>
      <c r="W63" s="3"/>
      <c r="X63" s="8">
        <f t="shared" si="14"/>
        <v>271.79000000000002</v>
      </c>
      <c r="Y63" s="3"/>
      <c r="Z63" s="7">
        <f t="shared" si="15"/>
        <v>0</v>
      </c>
    </row>
    <row r="64" spans="1:26" s="68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SUM(OSRRefD22_13x_0)</f>
        <v>3065.6499999999996</v>
      </c>
      <c r="E64" s="2"/>
      <c r="F64" s="6">
        <f t="shared" si="8"/>
        <v>3.4650461149018853E-2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3065.6499999999996</v>
      </c>
      <c r="M64" s="2"/>
      <c r="N64" s="6">
        <f t="shared" si="11"/>
        <v>0</v>
      </c>
      <c r="O64" s="14"/>
      <c r="P64" s="2">
        <f>SUM(OSRRefP22_13x_0)</f>
        <v>9614.26</v>
      </c>
      <c r="Q64" s="2"/>
      <c r="R64" s="6">
        <f t="shared" si="12"/>
        <v>2.6516870716568299E-2</v>
      </c>
      <c r="S64" s="2"/>
      <c r="T64" s="2">
        <f>SUM(OSRRefT22_13x_0)</f>
        <v>72</v>
      </c>
      <c r="U64" s="2"/>
      <c r="V64" s="6">
        <f t="shared" si="13"/>
        <v>0</v>
      </c>
      <c r="W64" s="2"/>
      <c r="X64" s="2">
        <f t="shared" si="14"/>
        <v>9542.26</v>
      </c>
      <c r="Y64" s="2"/>
      <c r="Z64" s="6">
        <f t="shared" si="15"/>
        <v>132.5313888888889</v>
      </c>
    </row>
    <row r="65" spans="1:26" s="69" customFormat="1" ht="15" hidden="1" customHeight="1" outlineLevel="2" x14ac:dyDescent="0.3">
      <c r="A65" s="26"/>
      <c r="B65" s="12" t="str">
        <f>CONCATENATE("          ","6235"," - ","COVID-19 EXPENSES")</f>
        <v xml:space="preserve">          6235 - COVID-19 EXPENSES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193.5</v>
      </c>
      <c r="Q65" s="3"/>
      <c r="R65" s="7">
        <f t="shared" si="12"/>
        <v>5.3368792644009687E-4</v>
      </c>
      <c r="S65" s="3"/>
      <c r="T65" s="8"/>
      <c r="U65" s="3"/>
      <c r="V65" s="7">
        <f t="shared" si="13"/>
        <v>0</v>
      </c>
      <c r="W65" s="3"/>
      <c r="X65" s="8">
        <f t="shared" si="14"/>
        <v>193.5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","6237"," - ","JANITORIAL SUPPLIES")</f>
        <v xml:space="preserve">          6237 - JANITORIAL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48.12</v>
      </c>
      <c r="Q66" s="3"/>
      <c r="R66" s="7">
        <f t="shared" si="12"/>
        <v>1.3271867193952175E-4</v>
      </c>
      <c r="S66" s="3"/>
      <c r="T66" s="8">
        <v>72</v>
      </c>
      <c r="U66" s="3"/>
      <c r="V66" s="7">
        <f t="shared" si="13"/>
        <v>0</v>
      </c>
      <c r="W66" s="3"/>
      <c r="X66" s="8">
        <f t="shared" si="14"/>
        <v>-23.880000000000003</v>
      </c>
      <c r="Y66" s="3"/>
      <c r="Z66" s="7">
        <f t="shared" si="15"/>
        <v>-0.33166666666666672</v>
      </c>
    </row>
    <row r="67" spans="1:26" s="69" customFormat="1" ht="15" hidden="1" customHeight="1" outlineLevel="2" x14ac:dyDescent="0.3">
      <c r="A67" s="26"/>
      <c r="B67" s="12" t="str">
        <f>CONCATENATE("          ","6239"," - ","KITCHEN SUPPLIES")</f>
        <v xml:space="preserve">          6239 - KITCHEN SUPPLIES</v>
      </c>
      <c r="C67" s="12"/>
      <c r="D67" s="8">
        <v>929.14</v>
      </c>
      <c r="E67" s="3"/>
      <c r="F67" s="7">
        <f t="shared" si="8"/>
        <v>1.0501893390308541E-2</v>
      </c>
      <c r="G67" s="3"/>
      <c r="H67" s="8"/>
      <c r="I67" s="3"/>
      <c r="J67" s="7">
        <f t="shared" si="9"/>
        <v>0</v>
      </c>
      <c r="K67" s="3"/>
      <c r="L67" s="8">
        <f t="shared" si="10"/>
        <v>929.14</v>
      </c>
      <c r="M67" s="3"/>
      <c r="N67" s="7">
        <f t="shared" si="11"/>
        <v>0</v>
      </c>
      <c r="O67" s="12"/>
      <c r="P67" s="8">
        <v>2874.78</v>
      </c>
      <c r="Q67" s="3"/>
      <c r="R67" s="7">
        <f t="shared" si="12"/>
        <v>7.9288649983021275E-3</v>
      </c>
      <c r="S67" s="3"/>
      <c r="T67" s="8"/>
      <c r="U67" s="3"/>
      <c r="V67" s="7">
        <f t="shared" si="13"/>
        <v>0</v>
      </c>
      <c r="W67" s="3"/>
      <c r="X67" s="8">
        <f t="shared" si="14"/>
        <v>2874.78</v>
      </c>
      <c r="Y67" s="3"/>
      <c r="Z67" s="7">
        <f t="shared" si="15"/>
        <v>0</v>
      </c>
    </row>
    <row r="68" spans="1:26" s="69" customFormat="1" ht="15" hidden="1" customHeight="1" outlineLevel="2" x14ac:dyDescent="0.3">
      <c r="A68" s="26"/>
      <c r="B68" s="12" t="str">
        <f>CONCATENATE("          ","6241"," - ","OFFICE EXPENSE")</f>
        <v xml:space="preserve">          6241 - OFFICE EXPENSE</v>
      </c>
      <c r="C68" s="12"/>
      <c r="D68" s="8">
        <v>258.93</v>
      </c>
      <c r="E68" s="3"/>
      <c r="F68" s="7">
        <f t="shared" si="8"/>
        <v>2.9266367345637803E-3</v>
      </c>
      <c r="G68" s="3"/>
      <c r="H68" s="8"/>
      <c r="I68" s="3"/>
      <c r="J68" s="7">
        <f t="shared" si="9"/>
        <v>0</v>
      </c>
      <c r="K68" s="3"/>
      <c r="L68" s="8">
        <f t="shared" si="10"/>
        <v>258.93</v>
      </c>
      <c r="M68" s="3"/>
      <c r="N68" s="7">
        <f t="shared" si="11"/>
        <v>0</v>
      </c>
      <c r="O68" s="12"/>
      <c r="P68" s="8">
        <v>2077.84</v>
      </c>
      <c r="Q68" s="3"/>
      <c r="R68" s="7">
        <f t="shared" si="12"/>
        <v>5.7308430029679117E-3</v>
      </c>
      <c r="S68" s="3"/>
      <c r="T68" s="8"/>
      <c r="U68" s="3"/>
      <c r="V68" s="7">
        <f t="shared" si="13"/>
        <v>0</v>
      </c>
      <c r="W68" s="3"/>
      <c r="X68" s="8">
        <f t="shared" si="14"/>
        <v>2077.84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6"/>
      <c r="B69" s="12" t="str">
        <f>CONCATENATE("          ","6243"," - ","PAPER SUPPLIES")</f>
        <v xml:space="preserve">          6243 - PAPER SUPPLIES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511.58</v>
      </c>
      <c r="Q69" s="3"/>
      <c r="R69" s="7">
        <f t="shared" si="12"/>
        <v>1.4109771028848824E-3</v>
      </c>
      <c r="S69" s="3"/>
      <c r="T69" s="8"/>
      <c r="U69" s="3"/>
      <c r="V69" s="7">
        <f t="shared" si="13"/>
        <v>0</v>
      </c>
      <c r="W69" s="3"/>
      <c r="X69" s="8">
        <f t="shared" si="14"/>
        <v>511.58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6"/>
      <c r="B70" s="12" t="str">
        <f>CONCATENATE("          ","6245"," - ","PRINTING")</f>
        <v xml:space="preserve">          6245 - PRINTING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733</v>
      </c>
      <c r="Q70" s="3"/>
      <c r="R70" s="7">
        <f t="shared" si="12"/>
        <v>2.0216705430521498E-3</v>
      </c>
      <c r="S70" s="3"/>
      <c r="T70" s="8"/>
      <c r="U70" s="3"/>
      <c r="V70" s="7">
        <f t="shared" si="13"/>
        <v>0</v>
      </c>
      <c r="W70" s="3"/>
      <c r="X70" s="8">
        <f t="shared" si="14"/>
        <v>733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","6247"," - ","STORE SUPPLIES")</f>
        <v xml:space="preserve">          6247 - STORE SUPPLIES</v>
      </c>
      <c r="C71" s="12"/>
      <c r="D71" s="8">
        <v>355.33</v>
      </c>
      <c r="E71" s="3"/>
      <c r="F71" s="7">
        <f t="shared" si="8"/>
        <v>4.0162276711564826E-3</v>
      </c>
      <c r="G71" s="3"/>
      <c r="H71" s="8"/>
      <c r="I71" s="3"/>
      <c r="J71" s="7">
        <f t="shared" si="9"/>
        <v>0</v>
      </c>
      <c r="K71" s="3"/>
      <c r="L71" s="8">
        <f t="shared" si="10"/>
        <v>355.33</v>
      </c>
      <c r="M71" s="3"/>
      <c r="N71" s="7">
        <f t="shared" si="11"/>
        <v>0</v>
      </c>
      <c r="O71" s="12"/>
      <c r="P71" s="8">
        <v>1050.94</v>
      </c>
      <c r="Q71" s="3"/>
      <c r="R71" s="7">
        <f t="shared" si="12"/>
        <v>2.8985735886974443E-3</v>
      </c>
      <c r="S71" s="3"/>
      <c r="T71" s="8"/>
      <c r="U71" s="3"/>
      <c r="V71" s="7">
        <f t="shared" si="13"/>
        <v>0</v>
      </c>
      <c r="W71" s="3"/>
      <c r="X71" s="8">
        <f t="shared" si="14"/>
        <v>1050.94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6"/>
      <c r="B72" s="12" t="str">
        <f>CONCATENATE("          ","6248"," - ","UNIFORMS")</f>
        <v xml:space="preserve">          6248 - UNIFORMS</v>
      </c>
      <c r="C72" s="12"/>
      <c r="D72" s="8">
        <v>1522.25</v>
      </c>
      <c r="E72" s="3"/>
      <c r="F72" s="7">
        <f t="shared" si="8"/>
        <v>1.7205703352990053E-2</v>
      </c>
      <c r="G72" s="3"/>
      <c r="H72" s="8"/>
      <c r="I72" s="3"/>
      <c r="J72" s="7">
        <f t="shared" si="9"/>
        <v>0</v>
      </c>
      <c r="K72" s="3"/>
      <c r="L72" s="8">
        <f t="shared" si="10"/>
        <v>1522.25</v>
      </c>
      <c r="M72" s="3"/>
      <c r="N72" s="7">
        <f t="shared" si="11"/>
        <v>0</v>
      </c>
      <c r="O72" s="12"/>
      <c r="P72" s="8">
        <v>2124.5</v>
      </c>
      <c r="Q72" s="3"/>
      <c r="R72" s="7">
        <f t="shared" si="12"/>
        <v>5.8595348822841646E-3</v>
      </c>
      <c r="S72" s="3"/>
      <c r="T72" s="8"/>
      <c r="U72" s="3"/>
      <c r="V72" s="7">
        <f t="shared" si="13"/>
        <v>0</v>
      </c>
      <c r="W72" s="3"/>
      <c r="X72" s="8">
        <f t="shared" si="14"/>
        <v>2124.5</v>
      </c>
      <c r="Y72" s="3"/>
      <c r="Z72" s="7">
        <f t="shared" si="15"/>
        <v>0</v>
      </c>
    </row>
    <row r="73" spans="1:26" s="68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SUM(OSRRefD22_14x_0)</f>
        <v>75</v>
      </c>
      <c r="E73" s="2"/>
      <c r="F73" s="6">
        <f t="shared" si="8"/>
        <v>8.4771079091755888E-4</v>
      </c>
      <c r="G73" s="2"/>
      <c r="H73" s="2">
        <f>SUM(OSRRefH22_14x_0)</f>
        <v>0</v>
      </c>
      <c r="I73" s="2"/>
      <c r="J73" s="6">
        <f t="shared" si="9"/>
        <v>0</v>
      </c>
      <c r="K73" s="2"/>
      <c r="L73" s="2">
        <f t="shared" si="10"/>
        <v>75</v>
      </c>
      <c r="M73" s="2"/>
      <c r="N73" s="6">
        <f t="shared" si="11"/>
        <v>0</v>
      </c>
      <c r="O73" s="14"/>
      <c r="P73" s="2">
        <f>SUM(OSRRefP22_14x_0)</f>
        <v>750</v>
      </c>
      <c r="Q73" s="2"/>
      <c r="R73" s="6">
        <f t="shared" si="12"/>
        <v>2.06855785441898E-3</v>
      </c>
      <c r="S73" s="2"/>
      <c r="T73" s="2">
        <f>SUM(OSRRefT22_14x_0)</f>
        <v>77.430000000000007</v>
      </c>
      <c r="U73" s="2"/>
      <c r="V73" s="6">
        <f t="shared" si="13"/>
        <v>0</v>
      </c>
      <c r="W73" s="2"/>
      <c r="X73" s="2">
        <f t="shared" si="14"/>
        <v>672.56999999999994</v>
      </c>
      <c r="Y73" s="2"/>
      <c r="Z73" s="6">
        <f t="shared" si="15"/>
        <v>8.6861681518791158</v>
      </c>
    </row>
    <row r="74" spans="1:26" s="69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8">
        <v>75</v>
      </c>
      <c r="E74" s="3"/>
      <c r="F74" s="7">
        <f t="shared" si="8"/>
        <v>8.4771079091755888E-4</v>
      </c>
      <c r="G74" s="3"/>
      <c r="H74" s="8"/>
      <c r="I74" s="3"/>
      <c r="J74" s="7">
        <f t="shared" si="9"/>
        <v>0</v>
      </c>
      <c r="K74" s="3"/>
      <c r="L74" s="8">
        <f t="shared" si="10"/>
        <v>75</v>
      </c>
      <c r="M74" s="3"/>
      <c r="N74" s="7">
        <f t="shared" si="11"/>
        <v>0</v>
      </c>
      <c r="O74" s="12"/>
      <c r="P74" s="8">
        <v>750</v>
      </c>
      <c r="Q74" s="3"/>
      <c r="R74" s="7">
        <f t="shared" si="12"/>
        <v>2.06855785441898E-3</v>
      </c>
      <c r="S74" s="3"/>
      <c r="T74" s="8">
        <v>77.430000000000007</v>
      </c>
      <c r="U74" s="3"/>
      <c r="V74" s="7">
        <f t="shared" si="13"/>
        <v>0</v>
      </c>
      <c r="W74" s="3"/>
      <c r="X74" s="8">
        <f t="shared" si="14"/>
        <v>672.56999999999994</v>
      </c>
      <c r="Y74" s="3"/>
      <c r="Z74" s="7">
        <f t="shared" si="15"/>
        <v>8.6861681518791158</v>
      </c>
    </row>
    <row r="75" spans="1:26" s="68" customFormat="1" ht="15" customHeight="1" outlineLevel="1" collapsed="1" x14ac:dyDescent="0.3">
      <c r="A75" s="25"/>
      <c r="B75" s="14" t="str">
        <f>CONCATENATE("     ","Training                                          ")</f>
        <v xml:space="preserve">     Training                                          </v>
      </c>
      <c r="C75" s="14"/>
      <c r="D75" s="2">
        <f>SUM(OSRRefD22_15x_0)</f>
        <v>200</v>
      </c>
      <c r="E75" s="2"/>
      <c r="F75" s="6">
        <f t="shared" si="8"/>
        <v>2.2605621091134902E-3</v>
      </c>
      <c r="G75" s="2"/>
      <c r="H75" s="2">
        <f>SUM(OSRRefH22_15x_0)</f>
        <v>0</v>
      </c>
      <c r="I75" s="2"/>
      <c r="J75" s="6">
        <f t="shared" si="9"/>
        <v>0</v>
      </c>
      <c r="K75" s="2"/>
      <c r="L75" s="2">
        <f t="shared" si="10"/>
        <v>200</v>
      </c>
      <c r="M75" s="2"/>
      <c r="N75" s="6">
        <f t="shared" si="11"/>
        <v>0</v>
      </c>
      <c r="O75" s="14"/>
      <c r="P75" s="2">
        <f>SUM(OSRRefP22_15x_0)</f>
        <v>200</v>
      </c>
      <c r="Q75" s="2"/>
      <c r="R75" s="6">
        <f t="shared" si="12"/>
        <v>5.5161542784506134E-4</v>
      </c>
      <c r="S75" s="2"/>
      <c r="T75" s="2">
        <f>SUM(OSRRefT22_15x_0)</f>
        <v>0</v>
      </c>
      <c r="U75" s="2"/>
      <c r="V75" s="6">
        <f t="shared" si="13"/>
        <v>0</v>
      </c>
      <c r="W75" s="2"/>
      <c r="X75" s="2">
        <f t="shared" si="14"/>
        <v>200</v>
      </c>
      <c r="Y75" s="2"/>
      <c r="Z75" s="6">
        <f t="shared" si="15"/>
        <v>0</v>
      </c>
    </row>
    <row r="76" spans="1:26" s="69" customFormat="1" ht="15" hidden="1" customHeight="1" outlineLevel="2" x14ac:dyDescent="0.3">
      <c r="A76" s="26"/>
      <c r="B76" s="12" t="str">
        <f>CONCATENATE("          ","6376"," - ","TRAINING")</f>
        <v xml:space="preserve">          6376 - TRAINING</v>
      </c>
      <c r="C76" s="12"/>
      <c r="D76" s="8">
        <v>200</v>
      </c>
      <c r="E76" s="3"/>
      <c r="F76" s="7">
        <f t="shared" si="8"/>
        <v>2.2605621091134902E-3</v>
      </c>
      <c r="G76" s="3"/>
      <c r="H76" s="8"/>
      <c r="I76" s="3"/>
      <c r="J76" s="7">
        <f t="shared" si="9"/>
        <v>0</v>
      </c>
      <c r="K76" s="3"/>
      <c r="L76" s="8">
        <f t="shared" si="10"/>
        <v>200</v>
      </c>
      <c r="M76" s="3"/>
      <c r="N76" s="7">
        <f t="shared" si="11"/>
        <v>0</v>
      </c>
      <c r="O76" s="12"/>
      <c r="P76" s="8">
        <v>200</v>
      </c>
      <c r="Q76" s="3"/>
      <c r="R76" s="7">
        <f t="shared" si="12"/>
        <v>5.5161542784506134E-4</v>
      </c>
      <c r="S76" s="3"/>
      <c r="T76" s="8"/>
      <c r="U76" s="3"/>
      <c r="V76" s="7">
        <f t="shared" si="13"/>
        <v>0</v>
      </c>
      <c r="W76" s="3"/>
      <c r="X76" s="8">
        <f t="shared" si="14"/>
        <v>200</v>
      </c>
      <c r="Y76" s="3"/>
      <c r="Z76" s="7">
        <f t="shared" si="15"/>
        <v>0</v>
      </c>
    </row>
    <row r="77" spans="1:26" s="68" customFormat="1" ht="15" customHeight="1" outlineLevel="1" collapsed="1" x14ac:dyDescent="0.3">
      <c r="A77" s="25"/>
      <c r="B77" s="14" t="str">
        <f>CONCATENATE("     ","Utilities                                         ")</f>
        <v xml:space="preserve">     Utilities                                         </v>
      </c>
      <c r="C77" s="14"/>
      <c r="D77" s="2">
        <f>SUM(OSRRefD22_16x_0)</f>
        <v>200</v>
      </c>
      <c r="E77" s="2"/>
      <c r="F77" s="6">
        <f t="shared" si="8"/>
        <v>2.2605621091134902E-3</v>
      </c>
      <c r="G77" s="2"/>
      <c r="H77" s="2">
        <f>SUM(OSRRefH22_16x_0)</f>
        <v>348</v>
      </c>
      <c r="I77" s="2"/>
      <c r="J77" s="6">
        <f t="shared" si="9"/>
        <v>0</v>
      </c>
      <c r="K77" s="2"/>
      <c r="L77" s="2">
        <f t="shared" si="10"/>
        <v>-148</v>
      </c>
      <c r="M77" s="2"/>
      <c r="N77" s="6">
        <f t="shared" si="11"/>
        <v>-0.42528735632183906</v>
      </c>
      <c r="O77" s="14"/>
      <c r="P77" s="2">
        <f>SUM(OSRRefP22_16x_0)</f>
        <v>1600</v>
      </c>
      <c r="Q77" s="2"/>
      <c r="R77" s="6">
        <f t="shared" si="12"/>
        <v>4.4129234227604907E-3</v>
      </c>
      <c r="S77" s="2"/>
      <c r="T77" s="2">
        <f>SUM(OSRRefT22_16x_0)</f>
        <v>1740</v>
      </c>
      <c r="U77" s="2"/>
      <c r="V77" s="6">
        <f t="shared" si="13"/>
        <v>0</v>
      </c>
      <c r="W77" s="2"/>
      <c r="X77" s="2">
        <f t="shared" si="14"/>
        <v>-140</v>
      </c>
      <c r="Y77" s="2"/>
      <c r="Z77" s="6">
        <f t="shared" si="15"/>
        <v>-8.0459770114942528E-2</v>
      </c>
    </row>
    <row r="78" spans="1:26" s="69" customFormat="1" ht="15" hidden="1" customHeight="1" outlineLevel="2" x14ac:dyDescent="0.3">
      <c r="A78" s="26"/>
      <c r="B78" s="12" t="str">
        <f>CONCATENATE("          ","6274"," - ","UTILITIES")</f>
        <v xml:space="preserve">          6274 - UTILITIES</v>
      </c>
      <c r="C78" s="12"/>
      <c r="D78" s="8">
        <v>200</v>
      </c>
      <c r="E78" s="3"/>
      <c r="F78" s="7">
        <f t="shared" si="8"/>
        <v>2.2605621091134902E-3</v>
      </c>
      <c r="G78" s="3"/>
      <c r="H78" s="8">
        <v>348</v>
      </c>
      <c r="I78" s="3"/>
      <c r="J78" s="7">
        <f t="shared" si="9"/>
        <v>0</v>
      </c>
      <c r="K78" s="3"/>
      <c r="L78" s="8">
        <f t="shared" si="10"/>
        <v>-148</v>
      </c>
      <c r="M78" s="3"/>
      <c r="N78" s="7">
        <f t="shared" si="11"/>
        <v>-0.42528735632183906</v>
      </c>
      <c r="O78" s="12"/>
      <c r="P78" s="8">
        <v>1600</v>
      </c>
      <c r="Q78" s="3"/>
      <c r="R78" s="7">
        <f t="shared" si="12"/>
        <v>4.4129234227604907E-3</v>
      </c>
      <c r="S78" s="3"/>
      <c r="T78" s="8">
        <v>1740</v>
      </c>
      <c r="U78" s="3"/>
      <c r="V78" s="7">
        <f t="shared" si="13"/>
        <v>0</v>
      </c>
      <c r="W78" s="3"/>
      <c r="X78" s="8">
        <f t="shared" si="14"/>
        <v>-140</v>
      </c>
      <c r="Y78" s="3"/>
      <c r="Z78" s="7">
        <f t="shared" si="15"/>
        <v>-8.0459770114942528E-2</v>
      </c>
    </row>
    <row r="79" spans="1:26" s="64" customFormat="1" ht="15" customHeight="1" x14ac:dyDescent="0.3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collapsed="1" x14ac:dyDescent="0.3">
      <c r="A80" s="11"/>
      <c r="B80" s="27" t="s">
        <v>290</v>
      </c>
      <c r="C80" s="11"/>
      <c r="D80" s="5">
        <f>SUM(OSRRefD25x_0)</f>
        <v>0</v>
      </c>
      <c r="E80" s="5"/>
      <c r="F80" s="13">
        <f>IF(D$12=0,0,D80/D$12)</f>
        <v>0</v>
      </c>
      <c r="G80" s="5"/>
      <c r="H80" s="5">
        <f>SUM(OSRRefH25x_0)</f>
        <v>0</v>
      </c>
      <c r="I80" s="5"/>
      <c r="J80" s="13">
        <f>IF(H$12=0,0,H80/H$12)</f>
        <v>0</v>
      </c>
      <c r="K80" s="5"/>
      <c r="L80" s="5">
        <f>+D80-H80</f>
        <v>0</v>
      </c>
      <c r="M80" s="5"/>
      <c r="N80" s="13">
        <f>IF(H80=0,0,L80/H80)</f>
        <v>0</v>
      </c>
      <c r="O80" s="11"/>
      <c r="P80" s="5">
        <f>SUM(OSRRefP25x_0)</f>
        <v>192</v>
      </c>
      <c r="Q80" s="5"/>
      <c r="R80" s="13">
        <f>IF(P$12=0,0,P80/P$12)</f>
        <v>5.2955081073125887E-4</v>
      </c>
      <c r="S80" s="5"/>
      <c r="T80" s="5">
        <f>SUM(OSRRefT25x_0)</f>
        <v>0</v>
      </c>
      <c r="U80" s="5"/>
      <c r="V80" s="13">
        <f>IF(T$12=0,0,T80/T$12)</f>
        <v>0</v>
      </c>
      <c r="W80" s="5"/>
      <c r="X80" s="5">
        <f>+P80-T80</f>
        <v>192</v>
      </c>
      <c r="Y80" s="5"/>
      <c r="Z80" s="13">
        <f>IF(T80=0,0,X80/T80)</f>
        <v>0</v>
      </c>
    </row>
    <row r="81" spans="1:26" s="69" customFormat="1" ht="15" hidden="1" customHeight="1" outlineLevel="1" x14ac:dyDescent="0.3">
      <c r="A81" s="42"/>
      <c r="B81" s="12" t="str">
        <f>CONCATENATE("          ","9150"," - ","MISC. INCOME")</f>
        <v xml:space="preserve">          9150 - MISC. INCOME</v>
      </c>
      <c r="C81" s="12"/>
      <c r="D81" s="3">
        <f>0</f>
        <v>0</v>
      </c>
      <c r="E81" s="3"/>
      <c r="F81" s="20">
        <f>IF(D$12=0,0,D81/D$12)</f>
        <v>0</v>
      </c>
      <c r="G81" s="3"/>
      <c r="H81" s="3">
        <f>0</f>
        <v>0</v>
      </c>
      <c r="I81" s="3"/>
      <c r="J81" s="20">
        <f>IF(H$12=0,0,H81/H$12)</f>
        <v>0</v>
      </c>
      <c r="K81" s="3"/>
      <c r="L81" s="3">
        <f>+D81-H81</f>
        <v>0</v>
      </c>
      <c r="M81" s="3"/>
      <c r="N81" s="20">
        <f>IF(H81=0,0,L81/H81)</f>
        <v>0</v>
      </c>
      <c r="O81" s="12"/>
      <c r="P81" s="3">
        <f>--192</f>
        <v>192</v>
      </c>
      <c r="Q81" s="3"/>
      <c r="R81" s="20">
        <f>IF(P$12=0,0,P81/P$12)</f>
        <v>5.2955081073125887E-4</v>
      </c>
      <c r="S81" s="3"/>
      <c r="T81" s="3">
        <f>0</f>
        <v>0</v>
      </c>
      <c r="U81" s="3"/>
      <c r="V81" s="20">
        <f>IF(T$12=0,0,T81/T$12)</f>
        <v>0</v>
      </c>
      <c r="W81" s="3"/>
      <c r="X81" s="3">
        <f>+P81-T81</f>
        <v>192</v>
      </c>
      <c r="Y81" s="3"/>
      <c r="Z81" s="20">
        <f>IF(T81=0,0,X81/T81)</f>
        <v>0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291</v>
      </c>
      <c r="C83" s="28"/>
      <c r="D83" s="23">
        <f>+D20-D22+D80</f>
        <v>5631.0099999999948</v>
      </c>
      <c r="E83" s="15"/>
      <c r="F83" s="22">
        <f>IF(D$12=0,0,D83/D$12)</f>
        <v>6.3646239210195715E-2</v>
      </c>
      <c r="G83" s="15"/>
      <c r="H83" s="23">
        <f>+H20-H22+H80</f>
        <v>-3326.46</v>
      </c>
      <c r="I83" s="15"/>
      <c r="J83" s="22">
        <f>IF(H$12=0,0,H83/H$12)</f>
        <v>0</v>
      </c>
      <c r="K83" s="17"/>
      <c r="L83" s="23">
        <f>+D83-H83</f>
        <v>8957.4699999999939</v>
      </c>
      <c r="M83" s="17"/>
      <c r="N83" s="22">
        <f>IF(H83=0,0,L83/H83)</f>
        <v>-2.6927935402800558</v>
      </c>
      <c r="O83" s="27"/>
      <c r="P83" s="23">
        <f>+P20-P22+P80</f>
        <v>-60057.229999999952</v>
      </c>
      <c r="Q83" s="15"/>
      <c r="R83" s="22">
        <f>IF(P$12=0,0,P83/P$12)</f>
        <v>-0.16564247310819613</v>
      </c>
      <c r="S83" s="15"/>
      <c r="T83" s="23">
        <f>+T20-T22+T80</f>
        <v>-54212.51</v>
      </c>
      <c r="U83" s="15"/>
      <c r="V83" s="22">
        <f>IF(T$12=0,0,T83/T$12)</f>
        <v>0</v>
      </c>
      <c r="W83" s="17"/>
      <c r="X83" s="23">
        <f>+P83-T83</f>
        <v>-5844.7199999999502</v>
      </c>
      <c r="Y83" s="17"/>
      <c r="Z83" s="22">
        <f>IF(T83=0,0,X83/T83)</f>
        <v>0.10781127824555532</v>
      </c>
    </row>
    <row r="84" spans="1:26" ht="15" customHeight="1" x14ac:dyDescent="0.3">
      <c r="A84" s="10"/>
      <c r="B84" s="11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48"/>
      <c r="B85" s="11" t="s">
        <v>292</v>
      </c>
      <c r="C85" s="11"/>
      <c r="D85" s="5">
        <v>8975.5300000000007</v>
      </c>
      <c r="E85" s="5"/>
      <c r="F85" s="13">
        <f>IF(D$12=0,0,D85/D$12)</f>
        <v>0.10144871513605704</v>
      </c>
      <c r="G85" s="5"/>
      <c r="H85" s="5"/>
      <c r="I85" s="5"/>
      <c r="J85" s="13">
        <f>IF(H$12=0,0,H85/H$12)</f>
        <v>0</v>
      </c>
      <c r="K85" s="5"/>
      <c r="L85" s="5">
        <f>+D85-H85</f>
        <v>8975.5300000000007</v>
      </c>
      <c r="M85" s="5"/>
      <c r="N85" s="13">
        <f>IF(H85=0,0,L85/H85)</f>
        <v>0</v>
      </c>
      <c r="O85" s="11"/>
      <c r="P85" s="5">
        <v>45257.15</v>
      </c>
      <c r="Q85" s="5"/>
      <c r="R85" s="13">
        <f>IF(P$12=0,0,P85/P$12)</f>
        <v>0.1248227108014906</v>
      </c>
      <c r="S85" s="5"/>
      <c r="T85" s="5"/>
      <c r="U85" s="5"/>
      <c r="V85" s="13">
        <f>IF(T$12=0,0,T85/T$12)</f>
        <v>0</v>
      </c>
      <c r="W85" s="5"/>
      <c r="X85" s="5">
        <f>+P85-T85</f>
        <v>45257.15</v>
      </c>
      <c r="Y85" s="5"/>
      <c r="Z85" s="13">
        <f>IF(T85=0,0,X85/T85)</f>
        <v>0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8" t="s">
        <v>293</v>
      </c>
      <c r="C87" s="28"/>
      <c r="D87" s="33">
        <f>+D83-D85</f>
        <v>-3344.5200000000059</v>
      </c>
      <c r="E87" s="15"/>
      <c r="F87" s="34">
        <f>IF(D$12=0,0,D87/D$12)</f>
        <v>-3.780247592586132E-2</v>
      </c>
      <c r="G87" s="15"/>
      <c r="H87" s="33">
        <f>+H83-H85</f>
        <v>-3326.46</v>
      </c>
      <c r="I87" s="15"/>
      <c r="J87" s="34">
        <f>IF(H$12=0,0,H87/H$12)</f>
        <v>0</v>
      </c>
      <c r="K87" s="17"/>
      <c r="L87" s="33">
        <f>D87-H87</f>
        <v>-18.060000000005857</v>
      </c>
      <c r="M87" s="17"/>
      <c r="N87" s="34">
        <f>IF(H87=0,0,L87/H87)</f>
        <v>5.4291950000919468E-3</v>
      </c>
      <c r="O87" s="27"/>
      <c r="P87" s="33">
        <f>+P83-P85</f>
        <v>-105314.37999999995</v>
      </c>
      <c r="Q87" s="15"/>
      <c r="R87" s="34">
        <f>IF(P$12=0,0,P87/P$12)</f>
        <v>-0.29046518390968673</v>
      </c>
      <c r="S87" s="15"/>
      <c r="T87" s="33">
        <f>+T83-T85</f>
        <v>-54212.51</v>
      </c>
      <c r="U87" s="15"/>
      <c r="V87" s="34">
        <f>IF(T$12=0,0,T87/T$12)</f>
        <v>0</v>
      </c>
      <c r="W87" s="17"/>
      <c r="X87" s="33">
        <f>P87-T87</f>
        <v>-51101.869999999944</v>
      </c>
      <c r="Y87" s="17"/>
      <c r="Z87" s="34">
        <f>IF(T87=0,0,X87/T87)</f>
        <v>0.94262136174842193</v>
      </c>
    </row>
    <row r="88" spans="1:26" ht="15" customHeight="1" x14ac:dyDescent="0.3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296</v>
      </c>
      <c r="C90" s="28"/>
      <c r="D90" s="35">
        <f>SUM(D87:D89)</f>
        <v>-3344.5200000000059</v>
      </c>
      <c r="E90" s="15"/>
      <c r="F90" s="29">
        <f>IF(D$12=0,0,D90/D$12)</f>
        <v>-3.780247592586132E-2</v>
      </c>
      <c r="G90" s="15"/>
      <c r="H90" s="35">
        <f>SUM(H87:H89)</f>
        <v>-3326.46</v>
      </c>
      <c r="I90" s="15"/>
      <c r="J90" s="29">
        <f>IF(H$12=0,0,H90/H$12)</f>
        <v>0</v>
      </c>
      <c r="K90" s="17"/>
      <c r="L90" s="35">
        <f>+D90-H90</f>
        <v>-18.060000000005857</v>
      </c>
      <c r="M90" s="17"/>
      <c r="N90" s="29">
        <f>IF(H90=0,0,L90/H90)</f>
        <v>5.4291950000919468E-3</v>
      </c>
      <c r="O90" s="27"/>
      <c r="P90" s="35">
        <f>SUM(P87:P89)</f>
        <v>-105314.37999999995</v>
      </c>
      <c r="Q90" s="15"/>
      <c r="R90" s="29">
        <f>IF(P$12=0,0,P90/P$12)</f>
        <v>-0.29046518390968673</v>
      </c>
      <c r="S90" s="15"/>
      <c r="T90" s="35">
        <f>SUM(T87:T89)</f>
        <v>-54212.51</v>
      </c>
      <c r="U90" s="15"/>
      <c r="V90" s="29">
        <f>IF(T$12=0,0,T90/T$12)</f>
        <v>0</v>
      </c>
      <c r="W90" s="17"/>
      <c r="X90" s="35">
        <f>+P90-T90</f>
        <v>-51101.869999999944</v>
      </c>
      <c r="Y90" s="17"/>
      <c r="Z90" s="29">
        <f>IF(T90=0,0,X90/T90)</f>
        <v>0.94262136174842193</v>
      </c>
    </row>
    <row r="91" spans="1:26" ht="15" customHeight="1" x14ac:dyDescent="0.3">
      <c r="A91" s="10"/>
      <c r="C91" s="10"/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3">
      <c r="A92" s="10"/>
      <c r="B92" s="50">
        <v>44634.887810300927</v>
      </c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3">
      <c r="A93" s="10"/>
      <c r="B93" s="58" t="s">
        <v>297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3">
      <c r="A94" s="10"/>
      <c r="B94" s="56"/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3"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B33E-BA92-CEE7-CFDE-85BCFC70142A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","406"," - ","OPA! Greek")</f>
        <v>Department 406 - OPA! Greek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0</v>
      </c>
      <c r="E18" s="21"/>
      <c r="F18" s="30">
        <f t="shared" ref="F18:F28" si="0">IF(D$12=0,0,D18/D$12)</f>
        <v>0</v>
      </c>
      <c r="G18" s="21"/>
      <c r="H18" s="21" cm="1">
        <f t="array" ref="H18">SUM(OSRRefH22x_0)</f>
        <v>119.55</v>
      </c>
      <c r="I18" s="21"/>
      <c r="J18" s="30">
        <f t="shared" ref="J18:J28" si="1">IF(H$12=0,0,H18/H$12)</f>
        <v>0</v>
      </c>
      <c r="K18" s="5"/>
      <c r="L18" s="21">
        <f t="shared" ref="L18:L28" si="2">+D18-H18</f>
        <v>-119.55</v>
      </c>
      <c r="M18" s="5"/>
      <c r="N18" s="30">
        <f t="shared" ref="N18:N28" si="3">IF(H18=0,0,L18/H18)</f>
        <v>-1</v>
      </c>
      <c r="O18" s="11"/>
      <c r="P18" s="21" cm="1">
        <f t="array" ref="P18">SUM(OSRRefP22x_0)</f>
        <v>69.290000000000006</v>
      </c>
      <c r="Q18" s="21"/>
      <c r="R18" s="30">
        <f t="shared" ref="R18:R28" si="4">IF(P$12=0,0,P18/P$12)</f>
        <v>0</v>
      </c>
      <c r="S18" s="21"/>
      <c r="T18" s="21" cm="1">
        <f t="array" ref="T18">SUM(OSRRefT22x_0)</f>
        <v>1983.6</v>
      </c>
      <c r="U18" s="21"/>
      <c r="V18" s="30">
        <f t="shared" ref="V18:V28" si="5">IF(T$12=0,0,T18/T$12)</f>
        <v>0</v>
      </c>
      <c r="W18" s="5"/>
      <c r="X18" s="21">
        <f t="shared" ref="X18:X28" si="6">+P18-T18</f>
        <v>-1914.31</v>
      </c>
      <c r="Y18" s="5"/>
      <c r="Z18" s="30">
        <f t="shared" ref="Z18:Z28" si="7">IF(T18=0,0,X18/T18)</f>
        <v>-0.96506856221012305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660.8</v>
      </c>
      <c r="U19" s="2"/>
      <c r="V19" s="6">
        <f t="shared" si="5"/>
        <v>0</v>
      </c>
      <c r="W19" s="2"/>
      <c r="X19" s="2">
        <f t="shared" si="6"/>
        <v>-660.8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660.8</v>
      </c>
      <c r="U20" s="3"/>
      <c r="V20" s="7">
        <f t="shared" si="5"/>
        <v>0</v>
      </c>
      <c r="W20" s="3"/>
      <c r="X20" s="8">
        <f t="shared" si="6"/>
        <v>-660.8</v>
      </c>
      <c r="Y20" s="3"/>
      <c r="Z20" s="7">
        <f t="shared" si="7"/>
        <v>-1</v>
      </c>
    </row>
    <row r="21" spans="1:26" s="68" customFormat="1" ht="15" customHeight="1" outlineLevel="1" collapsed="1" x14ac:dyDescent="0.3">
      <c r="A21" s="25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119.55</v>
      </c>
      <c r="I21" s="2"/>
      <c r="J21" s="6">
        <f t="shared" si="1"/>
        <v>0</v>
      </c>
      <c r="K21" s="2"/>
      <c r="L21" s="2">
        <f t="shared" si="2"/>
        <v>-119.55</v>
      </c>
      <c r="M21" s="2"/>
      <c r="N21" s="6">
        <f t="shared" si="3"/>
        <v>-1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956.4</v>
      </c>
      <c r="U21" s="2"/>
      <c r="V21" s="6">
        <f t="shared" si="5"/>
        <v>0</v>
      </c>
      <c r="W21" s="2"/>
      <c r="X21" s="2">
        <f t="shared" si="6"/>
        <v>-956.4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","6322"," - ","EQUIPMENT DEPRECIATION EXPENSE")</f>
        <v xml:space="preserve">          6322 - EQUIPMENT DEPRECIATION EXPENSE</v>
      </c>
      <c r="C22" s="12"/>
      <c r="D22" s="8"/>
      <c r="E22" s="3"/>
      <c r="F22" s="7">
        <f t="shared" si="0"/>
        <v>0</v>
      </c>
      <c r="G22" s="3"/>
      <c r="H22" s="8">
        <v>119.55</v>
      </c>
      <c r="I22" s="3"/>
      <c r="J22" s="7">
        <f t="shared" si="1"/>
        <v>0</v>
      </c>
      <c r="K22" s="3"/>
      <c r="L22" s="8">
        <f t="shared" si="2"/>
        <v>-119.55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956.4</v>
      </c>
      <c r="U22" s="3"/>
      <c r="V22" s="7">
        <f t="shared" si="5"/>
        <v>0</v>
      </c>
      <c r="W22" s="3"/>
      <c r="X22" s="8">
        <f t="shared" si="6"/>
        <v>-956.4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5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64.02</v>
      </c>
      <c r="U23" s="2"/>
      <c r="V23" s="6">
        <f t="shared" si="5"/>
        <v>0</v>
      </c>
      <c r="W23" s="2"/>
      <c r="X23" s="2">
        <f t="shared" si="6"/>
        <v>-64.02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","6351"," - ","EQUIPMENT RENTAL")</f>
        <v xml:space="preserve">          6351 - EQUIPMENT RENTAL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64.02</v>
      </c>
      <c r="U24" s="3"/>
      <c r="V24" s="7">
        <f t="shared" si="5"/>
        <v>0</v>
      </c>
      <c r="W24" s="3"/>
      <c r="X24" s="8">
        <f t="shared" si="6"/>
        <v>-64.02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69.290000000000006</v>
      </c>
      <c r="Q25" s="2"/>
      <c r="R25" s="6">
        <f t="shared" si="4"/>
        <v>0</v>
      </c>
      <c r="S25" s="2"/>
      <c r="T25" s="2">
        <f>SUM(OSRRefT22_3x_0)</f>
        <v>217.18</v>
      </c>
      <c r="U25" s="2"/>
      <c r="V25" s="6">
        <f t="shared" si="5"/>
        <v>0</v>
      </c>
      <c r="W25" s="2"/>
      <c r="X25" s="2">
        <f t="shared" si="6"/>
        <v>-147.88999999999999</v>
      </c>
      <c r="Y25" s="2"/>
      <c r="Z25" s="6">
        <f t="shared" si="7"/>
        <v>-0.68095588912422866</v>
      </c>
    </row>
    <row r="26" spans="1:26" s="69" customFormat="1" ht="15" hidden="1" customHeight="1" outlineLevel="2" x14ac:dyDescent="0.3">
      <c r="A26" s="26"/>
      <c r="B26" s="12" t="str">
        <f>CONCATENATE("          ","6373"," - ","MAINTENANCE CONTRACTS")</f>
        <v xml:space="preserve">          6373 - MAINTENANCE CONTRACTS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69.290000000000006</v>
      </c>
      <c r="Q26" s="3"/>
      <c r="R26" s="7">
        <f t="shared" si="4"/>
        <v>0</v>
      </c>
      <c r="S26" s="3"/>
      <c r="T26" s="8">
        <v>217.18</v>
      </c>
      <c r="U26" s="3"/>
      <c r="V26" s="7">
        <f t="shared" si="5"/>
        <v>0</v>
      </c>
      <c r="W26" s="3"/>
      <c r="X26" s="8">
        <f t="shared" si="6"/>
        <v>-147.88999999999999</v>
      </c>
      <c r="Y26" s="3"/>
      <c r="Z26" s="7">
        <f t="shared" si="7"/>
        <v>-0.68095588912422866</v>
      </c>
    </row>
    <row r="27" spans="1:26" s="68" customFormat="1" ht="15" customHeight="1" outlineLevel="1" collapsed="1" x14ac:dyDescent="0.3">
      <c r="A27" s="25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0</v>
      </c>
      <c r="Q27" s="2"/>
      <c r="R27" s="6">
        <f t="shared" si="4"/>
        <v>0</v>
      </c>
      <c r="S27" s="2"/>
      <c r="T27" s="2">
        <f>SUM(OSRRefT22_4x_0)</f>
        <v>85.2</v>
      </c>
      <c r="U27" s="2"/>
      <c r="V27" s="6">
        <f t="shared" si="5"/>
        <v>0</v>
      </c>
      <c r="W27" s="2"/>
      <c r="X27" s="2">
        <f t="shared" si="6"/>
        <v>-85.2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","6309"," - ","TELEPHONE")</f>
        <v xml:space="preserve">          6309 - TELEPHONE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85.2</v>
      </c>
      <c r="U28" s="3"/>
      <c r="V28" s="7">
        <f t="shared" si="5"/>
        <v>0</v>
      </c>
      <c r="W28" s="3"/>
      <c r="X28" s="8">
        <f t="shared" si="6"/>
        <v>-85.2</v>
      </c>
      <c r="Y28" s="3"/>
      <c r="Z28" s="7">
        <f t="shared" si="7"/>
        <v>-1</v>
      </c>
    </row>
    <row r="29" spans="1:26" s="64" customFormat="1" ht="15" customHeight="1" x14ac:dyDescent="0.3">
      <c r="A29" s="36"/>
      <c r="B29" s="36"/>
      <c r="C29" s="36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2" customFormat="1" ht="15" customHeight="1" x14ac:dyDescent="0.3">
      <c r="A30" s="11"/>
      <c r="B30" s="27" t="s">
        <v>290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291</v>
      </c>
      <c r="C32" s="28"/>
      <c r="D32" s="23">
        <f>+D16-D18+D30</f>
        <v>0</v>
      </c>
      <c r="E32" s="15"/>
      <c r="F32" s="22">
        <f>IF(D$12=0,0,D32/D$12)</f>
        <v>0</v>
      </c>
      <c r="G32" s="15"/>
      <c r="H32" s="23">
        <f>+H16-H18+H30</f>
        <v>-119.55</v>
      </c>
      <c r="I32" s="15"/>
      <c r="J32" s="22">
        <f>IF(H$12=0,0,H32/H$12)</f>
        <v>0</v>
      </c>
      <c r="K32" s="17"/>
      <c r="L32" s="23">
        <f>+D32-H32</f>
        <v>119.55</v>
      </c>
      <c r="M32" s="17"/>
      <c r="N32" s="22">
        <f>IF(H32=0,0,L32/H32)</f>
        <v>-1</v>
      </c>
      <c r="O32" s="27"/>
      <c r="P32" s="23">
        <f>+P16-P18+P30</f>
        <v>-69.290000000000006</v>
      </c>
      <c r="Q32" s="15"/>
      <c r="R32" s="22">
        <f>IF(P$12=0,0,P32/P$12)</f>
        <v>0</v>
      </c>
      <c r="S32" s="15"/>
      <c r="T32" s="23">
        <f>+T16-T18+T30</f>
        <v>-1983.6</v>
      </c>
      <c r="U32" s="15"/>
      <c r="V32" s="22">
        <f>IF(T$12=0,0,T32/T$12)</f>
        <v>0</v>
      </c>
      <c r="W32" s="17"/>
      <c r="X32" s="23">
        <f>+P32-T32</f>
        <v>1914.31</v>
      </c>
      <c r="Y32" s="17"/>
      <c r="Z32" s="22">
        <f>IF(T32=0,0,X32/T32)</f>
        <v>-0.96506856221012305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293</v>
      </c>
      <c r="C36" s="28"/>
      <c r="D36" s="33">
        <f>+D32-D34</f>
        <v>0</v>
      </c>
      <c r="E36" s="15"/>
      <c r="F36" s="34">
        <f>IF(D$12=0,0,D36/D$12)</f>
        <v>0</v>
      </c>
      <c r="G36" s="15"/>
      <c r="H36" s="33">
        <f>+H32-H34</f>
        <v>-119.55</v>
      </c>
      <c r="I36" s="15"/>
      <c r="J36" s="34">
        <f>IF(H$12=0,0,H36/H$12)</f>
        <v>0</v>
      </c>
      <c r="K36" s="17"/>
      <c r="L36" s="33">
        <f>D36-H36</f>
        <v>119.55</v>
      </c>
      <c r="M36" s="17"/>
      <c r="N36" s="34">
        <f>IF(H36=0,0,L36/H36)</f>
        <v>-1</v>
      </c>
      <c r="O36" s="27"/>
      <c r="P36" s="33">
        <f>+P32-P34</f>
        <v>-69.290000000000006</v>
      </c>
      <c r="Q36" s="15"/>
      <c r="R36" s="34">
        <f>IF(P$12=0,0,P36/P$12)</f>
        <v>0</v>
      </c>
      <c r="S36" s="15"/>
      <c r="T36" s="33">
        <f>+T32-T34</f>
        <v>-1983.6</v>
      </c>
      <c r="U36" s="15"/>
      <c r="V36" s="34">
        <f>IF(T$12=0,0,T36/T$12)</f>
        <v>0</v>
      </c>
      <c r="W36" s="17"/>
      <c r="X36" s="33">
        <f>P36-T36</f>
        <v>1914.31</v>
      </c>
      <c r="Y36" s="17"/>
      <c r="Z36" s="34">
        <f>IF(T36=0,0,X36/T36)</f>
        <v>-0.96506856221012305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296</v>
      </c>
      <c r="C39" s="28"/>
      <c r="D39" s="35">
        <f>SUM(D36:D38)</f>
        <v>0</v>
      </c>
      <c r="E39" s="15"/>
      <c r="F39" s="29">
        <f>IF(D$12=0,0,D39/D$12)</f>
        <v>0</v>
      </c>
      <c r="G39" s="15"/>
      <c r="H39" s="35">
        <f>SUM(H36:H38)</f>
        <v>-119.55</v>
      </c>
      <c r="I39" s="15"/>
      <c r="J39" s="29">
        <f>IF(H$12=0,0,H39/H$12)</f>
        <v>0</v>
      </c>
      <c r="K39" s="17"/>
      <c r="L39" s="35">
        <f>+D39-H39</f>
        <v>119.55</v>
      </c>
      <c r="M39" s="17"/>
      <c r="N39" s="29">
        <f>IF(H39=0,0,L39/H39)</f>
        <v>-1</v>
      </c>
      <c r="O39" s="27"/>
      <c r="P39" s="35">
        <f>SUM(P36:P38)</f>
        <v>-69.290000000000006</v>
      </c>
      <c r="Q39" s="15"/>
      <c r="R39" s="29">
        <f>IF(P$12=0,0,P39/P$12)</f>
        <v>0</v>
      </c>
      <c r="S39" s="15"/>
      <c r="T39" s="35">
        <f>SUM(T36:T38)</f>
        <v>-1983.6</v>
      </c>
      <c r="U39" s="15"/>
      <c r="V39" s="29">
        <f>IF(T$12=0,0,T39/T$12)</f>
        <v>0</v>
      </c>
      <c r="W39" s="17"/>
      <c r="X39" s="35">
        <f>+P39-T39</f>
        <v>1914.31</v>
      </c>
      <c r="Y39" s="17"/>
      <c r="Z39" s="29">
        <f>IF(T39=0,0,X39/T39)</f>
        <v>-0.96506856221012305</v>
      </c>
    </row>
    <row r="40" spans="1:26" ht="15" customHeight="1" x14ac:dyDescent="0.3">
      <c r="A40" s="10"/>
      <c r="C40" s="10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A41" s="10"/>
      <c r="B41" s="50">
        <v>44634.887810300927</v>
      </c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A42" s="10"/>
      <c r="B42" s="58" t="s">
        <v>297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3">
      <c r="A43" s="10"/>
      <c r="B43" s="56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3"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2B18D-1B6D-DB79-A2F8-A68EAFE81B08}">
  <sheetPr>
    <tabColor rgb="FF92D050"/>
    <outlinePr summaryBelow="0" summaryRight="0"/>
  </sheetPr>
  <dimension ref="A2:Z8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","411"," - ","University Dining")</f>
        <v>Department 411 - University Dining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43353.869999999995</v>
      </c>
      <c r="E18" s="21"/>
      <c r="F18" s="30">
        <f t="shared" ref="F18:F49" si="0">IF(D$12=0,0,D18/D$12)</f>
        <v>0</v>
      </c>
      <c r="G18" s="21"/>
      <c r="H18" s="21" cm="1">
        <f t="array" ref="H18">SUM(OSRRefH22x_0)</f>
        <v>35083.659999999996</v>
      </c>
      <c r="I18" s="21"/>
      <c r="J18" s="30">
        <f t="shared" ref="J18:J49" si="1">IF(H$12=0,0,H18/H$12)</f>
        <v>0</v>
      </c>
      <c r="K18" s="5"/>
      <c r="L18" s="21">
        <f t="shared" ref="L18:L49" si="2">+D18-H18</f>
        <v>8270.2099999999991</v>
      </c>
      <c r="M18" s="5"/>
      <c r="N18" s="30">
        <f t="shared" ref="N18:N49" si="3">IF(H18=0,0,L18/H18)</f>
        <v>0.23572825640198314</v>
      </c>
      <c r="O18" s="11"/>
      <c r="P18" s="21" cm="1">
        <f t="array" ref="P18">SUM(OSRRefP22x_0)</f>
        <v>398294.81000000006</v>
      </c>
      <c r="Q18" s="21"/>
      <c r="R18" s="30">
        <f t="shared" ref="R18:R49" si="4">IF(P$12=0,0,P18/P$12)</f>
        <v>0</v>
      </c>
      <c r="S18" s="21"/>
      <c r="T18" s="21" cm="1">
        <f t="array" ref="T18">SUM(OSRRefT22x_0)</f>
        <v>224936.50000000006</v>
      </c>
      <c r="U18" s="21"/>
      <c r="V18" s="30">
        <f t="shared" ref="V18:V49" si="5">IF(T$12=0,0,T18/T$12)</f>
        <v>0</v>
      </c>
      <c r="W18" s="5"/>
      <c r="X18" s="21">
        <f t="shared" ref="X18:X49" si="6">+P18-T18</f>
        <v>173358.31</v>
      </c>
      <c r="Y18" s="5"/>
      <c r="Z18" s="30">
        <f t="shared" ref="Z18:Z49" si="7">IF(T18=0,0,X18/T18)</f>
        <v>0.77069888613008541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9460.3599999999988</v>
      </c>
      <c r="E19" s="2"/>
      <c r="F19" s="6">
        <f t="shared" si="0"/>
        <v>0</v>
      </c>
      <c r="G19" s="2"/>
      <c r="H19" s="2">
        <f>SUM(OSRRefH22_0x_0)</f>
        <v>5593.32</v>
      </c>
      <c r="I19" s="2"/>
      <c r="J19" s="6">
        <f t="shared" si="1"/>
        <v>0</v>
      </c>
      <c r="K19" s="2"/>
      <c r="L19" s="2">
        <f t="shared" si="2"/>
        <v>3867.0399999999991</v>
      </c>
      <c r="M19" s="2"/>
      <c r="N19" s="6">
        <f t="shared" si="3"/>
        <v>0.69136755987499365</v>
      </c>
      <c r="O19" s="14"/>
      <c r="P19" s="2">
        <f>SUM(OSRRefP22_0x_0)</f>
        <v>86297.61</v>
      </c>
      <c r="Q19" s="2"/>
      <c r="R19" s="6">
        <f t="shared" si="4"/>
        <v>0</v>
      </c>
      <c r="S19" s="2"/>
      <c r="T19" s="2">
        <f>SUM(OSRRefT22_0x_0)</f>
        <v>47967.13</v>
      </c>
      <c r="U19" s="2"/>
      <c r="V19" s="6">
        <f t="shared" si="5"/>
        <v>0</v>
      </c>
      <c r="W19" s="2"/>
      <c r="X19" s="2">
        <f t="shared" si="6"/>
        <v>38330.480000000003</v>
      </c>
      <c r="Y19" s="2"/>
      <c r="Z19" s="6">
        <f t="shared" si="7"/>
        <v>0.79909888292253473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1381.25</v>
      </c>
      <c r="E20" s="3"/>
      <c r="F20" s="7">
        <f t="shared" si="0"/>
        <v>0</v>
      </c>
      <c r="G20" s="3"/>
      <c r="H20" s="8">
        <v>852.54</v>
      </c>
      <c r="I20" s="3"/>
      <c r="J20" s="7">
        <f t="shared" si="1"/>
        <v>0</v>
      </c>
      <c r="K20" s="3"/>
      <c r="L20" s="8">
        <f t="shared" si="2"/>
        <v>528.71</v>
      </c>
      <c r="M20" s="3"/>
      <c r="N20" s="7">
        <f t="shared" si="3"/>
        <v>0.62015858493443132</v>
      </c>
      <c r="O20" s="12"/>
      <c r="P20" s="8">
        <v>11575.67</v>
      </c>
      <c r="Q20" s="3"/>
      <c r="R20" s="7">
        <f t="shared" si="4"/>
        <v>0</v>
      </c>
      <c r="S20" s="3"/>
      <c r="T20" s="8">
        <v>7041.17</v>
      </c>
      <c r="U20" s="3"/>
      <c r="V20" s="7">
        <f t="shared" si="5"/>
        <v>0</v>
      </c>
      <c r="W20" s="3"/>
      <c r="X20" s="8">
        <f t="shared" si="6"/>
        <v>4534.5</v>
      </c>
      <c r="Y20" s="3"/>
      <c r="Z20" s="7">
        <f t="shared" si="7"/>
        <v>0.64399808554544202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232.92</v>
      </c>
      <c r="E21" s="3"/>
      <c r="F21" s="7">
        <f t="shared" si="0"/>
        <v>0</v>
      </c>
      <c r="G21" s="3"/>
      <c r="H21" s="8">
        <v>36.78</v>
      </c>
      <c r="I21" s="3"/>
      <c r="J21" s="7">
        <f t="shared" si="1"/>
        <v>0</v>
      </c>
      <c r="K21" s="3"/>
      <c r="L21" s="8">
        <f t="shared" si="2"/>
        <v>196.14</v>
      </c>
      <c r="M21" s="3"/>
      <c r="N21" s="7">
        <f t="shared" si="3"/>
        <v>5.3327895595432295</v>
      </c>
      <c r="O21" s="12"/>
      <c r="P21" s="8">
        <v>1936.92</v>
      </c>
      <c r="Q21" s="3"/>
      <c r="R21" s="7">
        <f t="shared" si="4"/>
        <v>0</v>
      </c>
      <c r="S21" s="3"/>
      <c r="T21" s="8">
        <v>440.3</v>
      </c>
      <c r="U21" s="3"/>
      <c r="V21" s="7">
        <f t="shared" si="5"/>
        <v>0</v>
      </c>
      <c r="W21" s="3"/>
      <c r="X21" s="8">
        <f t="shared" si="6"/>
        <v>1496.6200000000001</v>
      </c>
      <c r="Y21" s="3"/>
      <c r="Z21" s="7">
        <f t="shared" si="7"/>
        <v>3.3990915285032934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3042.72</v>
      </c>
      <c r="E22" s="3"/>
      <c r="F22" s="7">
        <f t="shared" si="0"/>
        <v>0</v>
      </c>
      <c r="G22" s="3"/>
      <c r="H22" s="8">
        <v>1920.87</v>
      </c>
      <c r="I22" s="3"/>
      <c r="J22" s="7">
        <f t="shared" si="1"/>
        <v>0</v>
      </c>
      <c r="K22" s="3"/>
      <c r="L22" s="8">
        <f t="shared" si="2"/>
        <v>1121.8499999999999</v>
      </c>
      <c r="M22" s="3"/>
      <c r="N22" s="7">
        <f t="shared" si="3"/>
        <v>0.58403223539333737</v>
      </c>
      <c r="O22" s="12"/>
      <c r="P22" s="8">
        <v>26014.35</v>
      </c>
      <c r="Q22" s="3"/>
      <c r="R22" s="7">
        <f t="shared" si="4"/>
        <v>0</v>
      </c>
      <c r="S22" s="3"/>
      <c r="T22" s="8">
        <v>14412.21</v>
      </c>
      <c r="U22" s="3"/>
      <c r="V22" s="7">
        <f t="shared" si="5"/>
        <v>0</v>
      </c>
      <c r="W22" s="3"/>
      <c r="X22" s="8">
        <f t="shared" si="6"/>
        <v>11602.14</v>
      </c>
      <c r="Y22" s="3"/>
      <c r="Z22" s="7">
        <f t="shared" si="7"/>
        <v>0.80502157545581143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46.94</v>
      </c>
      <c r="E23" s="3"/>
      <c r="F23" s="7">
        <f t="shared" si="0"/>
        <v>0</v>
      </c>
      <c r="G23" s="3"/>
      <c r="H23" s="8">
        <v>28.98</v>
      </c>
      <c r="I23" s="3"/>
      <c r="J23" s="7">
        <f t="shared" si="1"/>
        <v>0</v>
      </c>
      <c r="K23" s="3"/>
      <c r="L23" s="8">
        <f t="shared" si="2"/>
        <v>17.959999999999997</v>
      </c>
      <c r="M23" s="3"/>
      <c r="N23" s="7">
        <f t="shared" si="3"/>
        <v>0.61973775017253263</v>
      </c>
      <c r="O23" s="12"/>
      <c r="P23" s="8">
        <v>390.36</v>
      </c>
      <c r="Q23" s="3"/>
      <c r="R23" s="7">
        <f t="shared" si="4"/>
        <v>0</v>
      </c>
      <c r="S23" s="3"/>
      <c r="T23" s="8">
        <v>282.01</v>
      </c>
      <c r="U23" s="3"/>
      <c r="V23" s="7">
        <f t="shared" si="5"/>
        <v>0</v>
      </c>
      <c r="W23" s="3"/>
      <c r="X23" s="8">
        <f t="shared" si="6"/>
        <v>108.35000000000002</v>
      </c>
      <c r="Y23" s="3"/>
      <c r="Z23" s="7">
        <f t="shared" si="7"/>
        <v>0.38420623382149577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1948.13</v>
      </c>
      <c r="E24" s="3"/>
      <c r="F24" s="7">
        <f t="shared" si="0"/>
        <v>0</v>
      </c>
      <c r="G24" s="3"/>
      <c r="H24" s="8">
        <v>1221.05</v>
      </c>
      <c r="I24" s="3"/>
      <c r="J24" s="7">
        <f t="shared" si="1"/>
        <v>0</v>
      </c>
      <c r="K24" s="3"/>
      <c r="L24" s="8">
        <f t="shared" si="2"/>
        <v>727.08000000000015</v>
      </c>
      <c r="M24" s="3"/>
      <c r="N24" s="7">
        <f t="shared" si="3"/>
        <v>0.5954547315834734</v>
      </c>
      <c r="O24" s="12"/>
      <c r="P24" s="8">
        <v>16221.96</v>
      </c>
      <c r="Q24" s="3"/>
      <c r="R24" s="7">
        <f t="shared" si="4"/>
        <v>0</v>
      </c>
      <c r="S24" s="3"/>
      <c r="T24" s="8">
        <v>12039.84</v>
      </c>
      <c r="U24" s="3"/>
      <c r="V24" s="7">
        <f t="shared" si="5"/>
        <v>0</v>
      </c>
      <c r="W24" s="3"/>
      <c r="X24" s="8">
        <f t="shared" si="6"/>
        <v>4182.119999999999</v>
      </c>
      <c r="Y24" s="3"/>
      <c r="Z24" s="7">
        <f t="shared" si="7"/>
        <v>0.34735677550532224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1579.7</v>
      </c>
      <c r="E25" s="3"/>
      <c r="F25" s="7">
        <f t="shared" si="0"/>
        <v>0</v>
      </c>
      <c r="G25" s="3"/>
      <c r="H25" s="8">
        <v>1022.52</v>
      </c>
      <c r="I25" s="3"/>
      <c r="J25" s="7">
        <f t="shared" si="1"/>
        <v>0</v>
      </c>
      <c r="K25" s="3"/>
      <c r="L25" s="8">
        <f t="shared" si="2"/>
        <v>557.18000000000006</v>
      </c>
      <c r="M25" s="3"/>
      <c r="N25" s="7">
        <f t="shared" si="3"/>
        <v>0.54490865704338309</v>
      </c>
      <c r="O25" s="12"/>
      <c r="P25" s="8">
        <v>14819.79</v>
      </c>
      <c r="Q25" s="3"/>
      <c r="R25" s="7">
        <f t="shared" si="4"/>
        <v>0</v>
      </c>
      <c r="S25" s="3"/>
      <c r="T25" s="8">
        <v>8883.56</v>
      </c>
      <c r="U25" s="3"/>
      <c r="V25" s="7">
        <f t="shared" si="5"/>
        <v>0</v>
      </c>
      <c r="W25" s="3"/>
      <c r="X25" s="8">
        <f t="shared" si="6"/>
        <v>5936.2300000000014</v>
      </c>
      <c r="Y25" s="3"/>
      <c r="Z25" s="7">
        <f t="shared" si="7"/>
        <v>0.66822647677282554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825.9</v>
      </c>
      <c r="E26" s="3"/>
      <c r="F26" s="7">
        <f t="shared" si="0"/>
        <v>0</v>
      </c>
      <c r="G26" s="3"/>
      <c r="H26" s="8">
        <v>510.58</v>
      </c>
      <c r="I26" s="3"/>
      <c r="J26" s="7">
        <f t="shared" si="1"/>
        <v>0</v>
      </c>
      <c r="K26" s="3"/>
      <c r="L26" s="8">
        <f t="shared" si="2"/>
        <v>315.32</v>
      </c>
      <c r="M26" s="3"/>
      <c r="N26" s="7">
        <f t="shared" si="3"/>
        <v>0.61757217282306398</v>
      </c>
      <c r="O26" s="12"/>
      <c r="P26" s="8">
        <v>12931.62</v>
      </c>
      <c r="Q26" s="3"/>
      <c r="R26" s="7">
        <f t="shared" si="4"/>
        <v>0</v>
      </c>
      <c r="S26" s="3"/>
      <c r="T26" s="8">
        <v>4435.87</v>
      </c>
      <c r="U26" s="3"/>
      <c r="V26" s="7">
        <f t="shared" si="5"/>
        <v>0</v>
      </c>
      <c r="W26" s="3"/>
      <c r="X26" s="8">
        <f t="shared" si="6"/>
        <v>8495.75</v>
      </c>
      <c r="Y26" s="3"/>
      <c r="Z26" s="7">
        <f t="shared" si="7"/>
        <v>1.9152387243088729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402.8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402.8</v>
      </c>
      <c r="M27" s="3"/>
      <c r="N27" s="7">
        <f t="shared" si="3"/>
        <v>0</v>
      </c>
      <c r="O27" s="12"/>
      <c r="P27" s="8">
        <v>2406.94</v>
      </c>
      <c r="Q27" s="3"/>
      <c r="R27" s="7">
        <f t="shared" si="4"/>
        <v>0</v>
      </c>
      <c r="S27" s="3"/>
      <c r="T27" s="8">
        <v>432.17</v>
      </c>
      <c r="U27" s="3"/>
      <c r="V27" s="7">
        <f t="shared" si="5"/>
        <v>0</v>
      </c>
      <c r="W27" s="3"/>
      <c r="X27" s="8">
        <f t="shared" si="6"/>
        <v>1974.77</v>
      </c>
      <c r="Y27" s="3"/>
      <c r="Z27" s="7">
        <f t="shared" si="7"/>
        <v>4.5694286970405162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15731.64</v>
      </c>
      <c r="E28" s="2"/>
      <c r="F28" s="6">
        <f t="shared" si="0"/>
        <v>0</v>
      </c>
      <c r="G28" s="2"/>
      <c r="H28" s="2">
        <f>SUM(OSRRefH22_1x_0)</f>
        <v>10590.82</v>
      </c>
      <c r="I28" s="2"/>
      <c r="J28" s="6">
        <f t="shared" si="1"/>
        <v>0</v>
      </c>
      <c r="K28" s="2"/>
      <c r="L28" s="2">
        <f t="shared" si="2"/>
        <v>5140.82</v>
      </c>
      <c r="M28" s="2"/>
      <c r="N28" s="6">
        <f t="shared" si="3"/>
        <v>0.48540339652642572</v>
      </c>
      <c r="O28" s="14"/>
      <c r="P28" s="2">
        <f>SUM(OSRRefP22_1x_0)</f>
        <v>141642.74000000002</v>
      </c>
      <c r="Q28" s="2"/>
      <c r="R28" s="6">
        <f t="shared" si="4"/>
        <v>0</v>
      </c>
      <c r="S28" s="2"/>
      <c r="T28" s="2">
        <f>SUM(OSRRefT22_1x_0)</f>
        <v>89566.9</v>
      </c>
      <c r="U28" s="2"/>
      <c r="V28" s="6">
        <f t="shared" si="5"/>
        <v>0</v>
      </c>
      <c r="W28" s="2"/>
      <c r="X28" s="2">
        <f t="shared" si="6"/>
        <v>52075.840000000026</v>
      </c>
      <c r="Y28" s="2"/>
      <c r="Z28" s="6">
        <f t="shared" si="7"/>
        <v>0.58141835879102688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10936.46</v>
      </c>
      <c r="E29" s="3"/>
      <c r="F29" s="7">
        <f t="shared" si="0"/>
        <v>0</v>
      </c>
      <c r="G29" s="3"/>
      <c r="H29" s="8">
        <v>10590.82</v>
      </c>
      <c r="I29" s="3"/>
      <c r="J29" s="7">
        <f t="shared" si="1"/>
        <v>0</v>
      </c>
      <c r="K29" s="3"/>
      <c r="L29" s="8">
        <f t="shared" si="2"/>
        <v>345.63999999999942</v>
      </c>
      <c r="M29" s="3"/>
      <c r="N29" s="7">
        <f t="shared" si="3"/>
        <v>3.2635811013689162E-2</v>
      </c>
      <c r="O29" s="12"/>
      <c r="P29" s="8">
        <v>89196.29</v>
      </c>
      <c r="Q29" s="3"/>
      <c r="R29" s="7">
        <f t="shared" si="4"/>
        <v>0</v>
      </c>
      <c r="S29" s="3"/>
      <c r="T29" s="8">
        <v>87181.9</v>
      </c>
      <c r="U29" s="3"/>
      <c r="V29" s="7">
        <f t="shared" si="5"/>
        <v>0</v>
      </c>
      <c r="W29" s="3"/>
      <c r="X29" s="8">
        <f t="shared" si="6"/>
        <v>2014.3899999999994</v>
      </c>
      <c r="Y29" s="3"/>
      <c r="Z29" s="7">
        <f t="shared" si="7"/>
        <v>2.3105598753869777E-2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4795.18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4795.18</v>
      </c>
      <c r="M30" s="3"/>
      <c r="N30" s="7">
        <f t="shared" si="3"/>
        <v>0</v>
      </c>
      <c r="O30" s="12"/>
      <c r="P30" s="8">
        <v>49439.21</v>
      </c>
      <c r="Q30" s="3"/>
      <c r="R30" s="7">
        <f t="shared" si="4"/>
        <v>0</v>
      </c>
      <c r="S30" s="3"/>
      <c r="T30" s="8">
        <v>2080</v>
      </c>
      <c r="U30" s="3"/>
      <c r="V30" s="7">
        <f t="shared" si="5"/>
        <v>0</v>
      </c>
      <c r="W30" s="3"/>
      <c r="X30" s="8">
        <f t="shared" si="6"/>
        <v>47359.21</v>
      </c>
      <c r="Y30" s="3"/>
      <c r="Z30" s="7">
        <f t="shared" si="7"/>
        <v>22.768850961538462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1380.76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1380.76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1626.48</v>
      </c>
      <c r="Q32" s="3"/>
      <c r="R32" s="7">
        <f t="shared" si="4"/>
        <v>0</v>
      </c>
      <c r="S32" s="3"/>
      <c r="T32" s="8">
        <v>305</v>
      </c>
      <c r="U32" s="3"/>
      <c r="V32" s="7">
        <f t="shared" si="5"/>
        <v>0</v>
      </c>
      <c r="W32" s="3"/>
      <c r="X32" s="8">
        <f t="shared" si="6"/>
        <v>1321.48</v>
      </c>
      <c r="Y32" s="3"/>
      <c r="Z32" s="7">
        <f t="shared" si="7"/>
        <v>4.3327213114754102</v>
      </c>
    </row>
    <row r="33" spans="1:26" s="69" customFormat="1" ht="15" hidden="1" customHeight="1" outlineLevel="2" x14ac:dyDescent="0.3">
      <c r="A33" s="26"/>
      <c r="B33" s="12" t="str">
        <f>CONCATENATE("          ","6007"," - ","STUDENT HOURLY")</f>
        <v xml:space="preserve">          6007 - STUDENT HOURLY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0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5"/>
      <c r="B34" s="14" t="str">
        <f>CONCATENATE("     ","Bank/card Fees                                    ")</f>
        <v xml:space="preserve">     Bank/card Fees                                    </v>
      </c>
      <c r="C34" s="14"/>
      <c r="D34" s="2">
        <f>SUM(OSRRefD22_2x_0)</f>
        <v>177.96</v>
      </c>
      <c r="E34" s="2"/>
      <c r="F34" s="6">
        <f t="shared" si="0"/>
        <v>0</v>
      </c>
      <c r="G34" s="2"/>
      <c r="H34" s="2">
        <f>SUM(OSRRefH22_2x_0)</f>
        <v>706.91</v>
      </c>
      <c r="I34" s="2"/>
      <c r="J34" s="6">
        <f t="shared" si="1"/>
        <v>0</v>
      </c>
      <c r="K34" s="2"/>
      <c r="L34" s="2">
        <f t="shared" si="2"/>
        <v>-528.94999999999993</v>
      </c>
      <c r="M34" s="2"/>
      <c r="N34" s="6">
        <f t="shared" si="3"/>
        <v>-0.74825649658372351</v>
      </c>
      <c r="O34" s="14"/>
      <c r="P34" s="2">
        <f>SUM(OSRRefP22_2x_0)</f>
        <v>1762.31</v>
      </c>
      <c r="Q34" s="2"/>
      <c r="R34" s="6">
        <f t="shared" si="4"/>
        <v>0</v>
      </c>
      <c r="S34" s="2"/>
      <c r="T34" s="2">
        <f>SUM(OSRRefT22_2x_0)</f>
        <v>3387.49</v>
      </c>
      <c r="U34" s="2"/>
      <c r="V34" s="6">
        <f t="shared" si="5"/>
        <v>0</v>
      </c>
      <c r="W34" s="2"/>
      <c r="X34" s="2">
        <f t="shared" si="6"/>
        <v>-1625.1799999999998</v>
      </c>
      <c r="Y34" s="2"/>
      <c r="Z34" s="6">
        <f t="shared" si="7"/>
        <v>-0.47975934984309915</v>
      </c>
    </row>
    <row r="35" spans="1:26" s="69" customFormat="1" ht="15" hidden="1" customHeight="1" outlineLevel="2" x14ac:dyDescent="0.3">
      <c r="A35" s="26"/>
      <c r="B35" s="12" t="str">
        <f>CONCATENATE("          ","6381"," - ","BANK/CREDIT CARD FEES")</f>
        <v xml:space="preserve">          6381 - BANK/CREDIT CARD FEES</v>
      </c>
      <c r="C35" s="12"/>
      <c r="D35" s="8">
        <v>177.96</v>
      </c>
      <c r="E35" s="3"/>
      <c r="F35" s="7">
        <f t="shared" si="0"/>
        <v>0</v>
      </c>
      <c r="G35" s="3"/>
      <c r="H35" s="8">
        <v>706.91</v>
      </c>
      <c r="I35" s="3"/>
      <c r="J35" s="7">
        <f t="shared" si="1"/>
        <v>0</v>
      </c>
      <c r="K35" s="3"/>
      <c r="L35" s="8">
        <f t="shared" si="2"/>
        <v>-528.94999999999993</v>
      </c>
      <c r="M35" s="3"/>
      <c r="N35" s="7">
        <f t="shared" si="3"/>
        <v>-0.74825649658372351</v>
      </c>
      <c r="O35" s="12"/>
      <c r="P35" s="8">
        <v>1762.31</v>
      </c>
      <c r="Q35" s="3"/>
      <c r="R35" s="7">
        <f t="shared" si="4"/>
        <v>0</v>
      </c>
      <c r="S35" s="3"/>
      <c r="T35" s="8">
        <v>3387.49</v>
      </c>
      <c r="U35" s="3"/>
      <c r="V35" s="7">
        <f t="shared" si="5"/>
        <v>0</v>
      </c>
      <c r="W35" s="3"/>
      <c r="X35" s="8">
        <f t="shared" si="6"/>
        <v>-1625.1799999999998</v>
      </c>
      <c r="Y35" s="3"/>
      <c r="Z35" s="7">
        <f t="shared" si="7"/>
        <v>-0.47975934984309915</v>
      </c>
    </row>
    <row r="36" spans="1:26" s="68" customFormat="1" ht="15" customHeight="1" outlineLevel="1" collapsed="1" x14ac:dyDescent="0.3">
      <c r="A36" s="25"/>
      <c r="B36" s="14" t="str">
        <f>CONCATENATE("     ","Depreciation                                      ")</f>
        <v xml:space="preserve">     Depreciation                                      </v>
      </c>
      <c r="C36" s="14"/>
      <c r="D36" s="2">
        <f>SUM(OSRRefD22_3x_0)</f>
        <v>5331.53</v>
      </c>
      <c r="E36" s="2"/>
      <c r="F36" s="6">
        <f t="shared" si="0"/>
        <v>0</v>
      </c>
      <c r="G36" s="2"/>
      <c r="H36" s="2">
        <f>SUM(OSRRefH22_3x_0)</f>
        <v>6779.8600000000006</v>
      </c>
      <c r="I36" s="2"/>
      <c r="J36" s="6">
        <f t="shared" si="1"/>
        <v>0</v>
      </c>
      <c r="K36" s="2"/>
      <c r="L36" s="2">
        <f t="shared" si="2"/>
        <v>-1448.3300000000008</v>
      </c>
      <c r="M36" s="2"/>
      <c r="N36" s="6">
        <f t="shared" si="3"/>
        <v>-0.21362240518240799</v>
      </c>
      <c r="O36" s="14"/>
      <c r="P36" s="2">
        <f>SUM(OSRRefP22_3x_0)</f>
        <v>42652.24</v>
      </c>
      <c r="Q36" s="2"/>
      <c r="R36" s="6">
        <f t="shared" si="4"/>
        <v>0</v>
      </c>
      <c r="S36" s="2"/>
      <c r="T36" s="2">
        <f>SUM(OSRRefT22_3x_0)</f>
        <v>55023.07</v>
      </c>
      <c r="U36" s="2"/>
      <c r="V36" s="6">
        <f t="shared" si="5"/>
        <v>0</v>
      </c>
      <c r="W36" s="2"/>
      <c r="X36" s="2">
        <f t="shared" si="6"/>
        <v>-12370.830000000002</v>
      </c>
      <c r="Y36" s="2"/>
      <c r="Z36" s="6">
        <f t="shared" si="7"/>
        <v>-0.2248298759047796</v>
      </c>
    </row>
    <row r="37" spans="1:26" s="69" customFormat="1" ht="15" hidden="1" customHeight="1" outlineLevel="2" x14ac:dyDescent="0.3">
      <c r="A37" s="26"/>
      <c r="B37" s="12" t="str">
        <f>CONCATENATE("          ","6321"," - ","BUILDING DEPRECIATION")</f>
        <v xml:space="preserve">          6321 - BUILDING DEPRECIATION</v>
      </c>
      <c r="C37" s="12"/>
      <c r="D37" s="8">
        <v>1822.68</v>
      </c>
      <c r="E37" s="3"/>
      <c r="F37" s="7">
        <f t="shared" si="0"/>
        <v>0</v>
      </c>
      <c r="G37" s="3"/>
      <c r="H37" s="8">
        <v>1822.68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14581.44</v>
      </c>
      <c r="Q37" s="3"/>
      <c r="R37" s="7">
        <f t="shared" si="4"/>
        <v>0</v>
      </c>
      <c r="S37" s="3"/>
      <c r="T37" s="8">
        <v>15365.63</v>
      </c>
      <c r="U37" s="3"/>
      <c r="V37" s="7">
        <f t="shared" si="5"/>
        <v>0</v>
      </c>
      <c r="W37" s="3"/>
      <c r="X37" s="8">
        <f t="shared" si="6"/>
        <v>-784.18999999999869</v>
      </c>
      <c r="Y37" s="3"/>
      <c r="Z37" s="7">
        <f t="shared" si="7"/>
        <v>-5.1035330149170499E-2</v>
      </c>
    </row>
    <row r="38" spans="1:26" s="69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3508.85</v>
      </c>
      <c r="E38" s="3"/>
      <c r="F38" s="7">
        <f t="shared" si="0"/>
        <v>0</v>
      </c>
      <c r="G38" s="3"/>
      <c r="H38" s="8">
        <v>4957.18</v>
      </c>
      <c r="I38" s="3"/>
      <c r="J38" s="7">
        <f t="shared" si="1"/>
        <v>0</v>
      </c>
      <c r="K38" s="3"/>
      <c r="L38" s="8">
        <f t="shared" si="2"/>
        <v>-1448.3300000000004</v>
      </c>
      <c r="M38" s="3"/>
      <c r="N38" s="7">
        <f t="shared" si="3"/>
        <v>-0.29216812784688073</v>
      </c>
      <c r="O38" s="12"/>
      <c r="P38" s="8">
        <v>28070.799999999999</v>
      </c>
      <c r="Q38" s="3"/>
      <c r="R38" s="7">
        <f t="shared" si="4"/>
        <v>0</v>
      </c>
      <c r="S38" s="3"/>
      <c r="T38" s="8">
        <v>39657.440000000002</v>
      </c>
      <c r="U38" s="3"/>
      <c r="V38" s="7">
        <f t="shared" si="5"/>
        <v>0</v>
      </c>
      <c r="W38" s="3"/>
      <c r="X38" s="8">
        <f t="shared" si="6"/>
        <v>-11586.640000000003</v>
      </c>
      <c r="Y38" s="3"/>
      <c r="Z38" s="7">
        <f t="shared" si="7"/>
        <v>-0.29216812784688073</v>
      </c>
    </row>
    <row r="39" spans="1:26" s="68" customFormat="1" ht="15" customHeight="1" outlineLevel="1" collapsed="1" x14ac:dyDescent="0.3">
      <c r="A39" s="25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18</v>
      </c>
      <c r="Q39" s="2"/>
      <c r="R39" s="6">
        <f t="shared" si="4"/>
        <v>0</v>
      </c>
      <c r="S39" s="2"/>
      <c r="T39" s="2">
        <f>SUM(OSRRefT22_4x_0)</f>
        <v>0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","6277"," - ","EMPLOYEE APPRECIATION")</f>
        <v xml:space="preserve">          6277 - EMPLOYEE APPRECIATION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18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18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SUM(OSRRefD22_5x_0)</f>
        <v>91.26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91.26</v>
      </c>
      <c r="M41" s="2"/>
      <c r="N41" s="6">
        <f t="shared" si="3"/>
        <v>0</v>
      </c>
      <c r="O41" s="14"/>
      <c r="P41" s="2">
        <f>SUM(OSRRefP22_5x_0)</f>
        <v>638.82000000000005</v>
      </c>
      <c r="Q41" s="2"/>
      <c r="R41" s="6">
        <f t="shared" si="4"/>
        <v>0</v>
      </c>
      <c r="S41" s="2"/>
      <c r="T41" s="2">
        <f>SUM(OSRRefT22_5x_0)</f>
        <v>2928.23</v>
      </c>
      <c r="U41" s="2"/>
      <c r="V41" s="6">
        <f t="shared" si="5"/>
        <v>0</v>
      </c>
      <c r="W41" s="2"/>
      <c r="X41" s="2">
        <f t="shared" si="6"/>
        <v>-2289.41</v>
      </c>
      <c r="Y41" s="2"/>
      <c r="Z41" s="6">
        <f t="shared" si="7"/>
        <v>-0.78184090730577849</v>
      </c>
    </row>
    <row r="42" spans="1:26" s="69" customFormat="1" ht="15" hidden="1" customHeight="1" outlineLevel="2" x14ac:dyDescent="0.3">
      <c r="A42" s="26"/>
      <c r="B42" s="12" t="str">
        <f>CONCATENATE("          ","6351"," - ","EQUIPMENT RENTAL")</f>
        <v xml:space="preserve">          6351 - EQUIPMENT RENTAL</v>
      </c>
      <c r="C42" s="12"/>
      <c r="D42" s="8">
        <v>91.26</v>
      </c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91.26</v>
      </c>
      <c r="M42" s="3"/>
      <c r="N42" s="7">
        <f t="shared" si="3"/>
        <v>0</v>
      </c>
      <c r="O42" s="12"/>
      <c r="P42" s="8">
        <v>638.82000000000005</v>
      </c>
      <c r="Q42" s="3"/>
      <c r="R42" s="7">
        <f t="shared" si="4"/>
        <v>0</v>
      </c>
      <c r="S42" s="3"/>
      <c r="T42" s="8">
        <v>2928.23</v>
      </c>
      <c r="U42" s="3"/>
      <c r="V42" s="7">
        <f t="shared" si="5"/>
        <v>0</v>
      </c>
      <c r="W42" s="3"/>
      <c r="X42" s="8">
        <f t="shared" si="6"/>
        <v>-2289.41</v>
      </c>
      <c r="Y42" s="3"/>
      <c r="Z42" s="7">
        <f t="shared" si="7"/>
        <v>-0.78184090730577849</v>
      </c>
    </row>
    <row r="43" spans="1:26" s="68" customFormat="1" ht="15" customHeight="1" outlineLevel="1" collapsed="1" x14ac:dyDescent="0.3">
      <c r="A43" s="25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-5.41</v>
      </c>
      <c r="U43" s="2"/>
      <c r="V43" s="6">
        <f t="shared" si="5"/>
        <v>0</v>
      </c>
      <c r="W43" s="2"/>
      <c r="X43" s="2">
        <f t="shared" si="6"/>
        <v>5.41</v>
      </c>
      <c r="Y43" s="2"/>
      <c r="Z43" s="6">
        <f t="shared" si="7"/>
        <v>-1</v>
      </c>
    </row>
    <row r="44" spans="1:26" s="69" customFormat="1" ht="15" hidden="1" customHeight="1" outlineLevel="2" x14ac:dyDescent="0.3">
      <c r="A44" s="26"/>
      <c r="B44" s="12" t="str">
        <f>CONCATENATE("          ","6307"," - ","POSTAGE")</f>
        <v xml:space="preserve">          6307 - POSTAGE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-5.41</v>
      </c>
      <c r="U44" s="3"/>
      <c r="V44" s="7">
        <f t="shared" si="5"/>
        <v>0</v>
      </c>
      <c r="W44" s="3"/>
      <c r="X44" s="8">
        <f t="shared" si="6"/>
        <v>5.41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5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119.41</v>
      </c>
      <c r="I45" s="2"/>
      <c r="J45" s="6">
        <f t="shared" si="1"/>
        <v>0</v>
      </c>
      <c r="K45" s="2"/>
      <c r="L45" s="2">
        <f t="shared" si="2"/>
        <v>-119.41</v>
      </c>
      <c r="M45" s="2"/>
      <c r="N45" s="6">
        <f t="shared" si="3"/>
        <v>-1</v>
      </c>
      <c r="O45" s="14"/>
      <c r="P45" s="2">
        <f>SUM(OSRRefP22_7x_0)</f>
        <v>122.51</v>
      </c>
      <c r="Q45" s="2"/>
      <c r="R45" s="6">
        <f t="shared" si="4"/>
        <v>0</v>
      </c>
      <c r="S45" s="2"/>
      <c r="T45" s="2">
        <f>SUM(OSRRefT22_7x_0)</f>
        <v>516.41</v>
      </c>
      <c r="U45" s="2"/>
      <c r="V45" s="6">
        <f t="shared" si="5"/>
        <v>0</v>
      </c>
      <c r="W45" s="2"/>
      <c r="X45" s="2">
        <f t="shared" si="6"/>
        <v>-393.9</v>
      </c>
      <c r="Y45" s="2"/>
      <c r="Z45" s="6">
        <f t="shared" si="7"/>
        <v>-0.7627660192482717</v>
      </c>
    </row>
    <row r="46" spans="1:26" s="69" customFormat="1" ht="15" hidden="1" customHeight="1" outlineLevel="2" x14ac:dyDescent="0.3">
      <c r="A46" s="26"/>
      <c r="B46" s="12" t="str">
        <f>CONCATENATE("          ","6279"," - ","GENERAL EXPENSE")</f>
        <v xml:space="preserve">          6279 - GENERAL EXPENSE</v>
      </c>
      <c r="C46" s="12"/>
      <c r="D46" s="8"/>
      <c r="E46" s="3"/>
      <c r="F46" s="7">
        <f t="shared" si="0"/>
        <v>0</v>
      </c>
      <c r="G46" s="3"/>
      <c r="H46" s="8">
        <v>119.41</v>
      </c>
      <c r="I46" s="3"/>
      <c r="J46" s="7">
        <f t="shared" si="1"/>
        <v>0</v>
      </c>
      <c r="K46" s="3"/>
      <c r="L46" s="8">
        <f t="shared" si="2"/>
        <v>-119.41</v>
      </c>
      <c r="M46" s="3"/>
      <c r="N46" s="7">
        <f t="shared" si="3"/>
        <v>-1</v>
      </c>
      <c r="O46" s="12"/>
      <c r="P46" s="8">
        <v>122.51</v>
      </c>
      <c r="Q46" s="3"/>
      <c r="R46" s="7">
        <f t="shared" si="4"/>
        <v>0</v>
      </c>
      <c r="S46" s="3"/>
      <c r="T46" s="8">
        <v>516.41</v>
      </c>
      <c r="U46" s="3"/>
      <c r="V46" s="7">
        <f t="shared" si="5"/>
        <v>0</v>
      </c>
      <c r="W46" s="3"/>
      <c r="X46" s="8">
        <f t="shared" si="6"/>
        <v>-393.9</v>
      </c>
      <c r="Y46" s="3"/>
      <c r="Z46" s="7">
        <f t="shared" si="7"/>
        <v>-0.7627660192482717</v>
      </c>
    </row>
    <row r="47" spans="1:26" s="68" customFormat="1" ht="15" customHeight="1" outlineLevel="1" collapsed="1" x14ac:dyDescent="0.3">
      <c r="A47" s="25"/>
      <c r="B47" s="14" t="str">
        <f>CONCATENATE("     ","Insurance                                         ")</f>
        <v xml:space="preserve">     Insurance                                         </v>
      </c>
      <c r="C47" s="14"/>
      <c r="D47" s="2">
        <f>SUM(OSRRefD22_8x_0)</f>
        <v>4884.6000000000004</v>
      </c>
      <c r="E47" s="2"/>
      <c r="F47" s="6">
        <f t="shared" si="0"/>
        <v>0</v>
      </c>
      <c r="G47" s="2"/>
      <c r="H47" s="2">
        <f>SUM(OSRRefH22_8x_0)</f>
        <v>3598.85</v>
      </c>
      <c r="I47" s="2"/>
      <c r="J47" s="6">
        <f t="shared" si="1"/>
        <v>0</v>
      </c>
      <c r="K47" s="2"/>
      <c r="L47" s="2">
        <f t="shared" si="2"/>
        <v>1285.7500000000005</v>
      </c>
      <c r="M47" s="2"/>
      <c r="N47" s="6">
        <f t="shared" si="3"/>
        <v>0.35726690470567002</v>
      </c>
      <c r="O47" s="14"/>
      <c r="P47" s="2">
        <f>SUM(OSRRefP22_8x_0)</f>
        <v>45959.8</v>
      </c>
      <c r="Q47" s="2"/>
      <c r="R47" s="6">
        <f t="shared" si="4"/>
        <v>0</v>
      </c>
      <c r="S47" s="2"/>
      <c r="T47" s="2">
        <f>SUM(OSRRefT22_8x_0)</f>
        <v>34902.800000000003</v>
      </c>
      <c r="U47" s="2"/>
      <c r="V47" s="6">
        <f t="shared" si="5"/>
        <v>0</v>
      </c>
      <c r="W47" s="2"/>
      <c r="X47" s="2">
        <f t="shared" si="6"/>
        <v>11057</v>
      </c>
      <c r="Y47" s="2"/>
      <c r="Z47" s="6">
        <f t="shared" si="7"/>
        <v>0.3167940680976884</v>
      </c>
    </row>
    <row r="48" spans="1:26" s="69" customFormat="1" ht="15" hidden="1" customHeight="1" outlineLevel="2" x14ac:dyDescent="0.3">
      <c r="A48" s="26"/>
      <c r="B48" s="12" t="str">
        <f>CONCATENATE("          ","6314"," - ","LIABILITY INSURANCE")</f>
        <v xml:space="preserve">          6314 - LIABILITY INSURANCE</v>
      </c>
      <c r="C48" s="12"/>
      <c r="D48" s="8">
        <v>4884.6000000000004</v>
      </c>
      <c r="E48" s="3"/>
      <c r="F48" s="7">
        <f t="shared" si="0"/>
        <v>0</v>
      </c>
      <c r="G48" s="3"/>
      <c r="H48" s="8">
        <v>3598.85</v>
      </c>
      <c r="I48" s="3"/>
      <c r="J48" s="7">
        <f t="shared" si="1"/>
        <v>0</v>
      </c>
      <c r="K48" s="3"/>
      <c r="L48" s="8">
        <f t="shared" si="2"/>
        <v>1285.7500000000005</v>
      </c>
      <c r="M48" s="3"/>
      <c r="N48" s="7">
        <f t="shared" si="3"/>
        <v>0.35726690470567002</v>
      </c>
      <c r="O48" s="12"/>
      <c r="P48" s="8">
        <v>45959.8</v>
      </c>
      <c r="Q48" s="3"/>
      <c r="R48" s="7">
        <f t="shared" si="4"/>
        <v>0</v>
      </c>
      <c r="S48" s="3"/>
      <c r="T48" s="8">
        <v>34902.800000000003</v>
      </c>
      <c r="U48" s="3"/>
      <c r="V48" s="7">
        <f t="shared" si="5"/>
        <v>0</v>
      </c>
      <c r="W48" s="3"/>
      <c r="X48" s="8">
        <f t="shared" si="6"/>
        <v>11057</v>
      </c>
      <c r="Y48" s="3"/>
      <c r="Z48" s="7">
        <f t="shared" si="7"/>
        <v>0.3167940680976884</v>
      </c>
    </row>
    <row r="49" spans="1:26" s="68" customFormat="1" ht="15" customHeight="1" outlineLevel="1" collapsed="1" x14ac:dyDescent="0.3">
      <c r="A49" s="25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SUM(OSRRefD22_9x_0)</f>
        <v>1138.8399999999999</v>
      </c>
      <c r="E49" s="2"/>
      <c r="F49" s="6">
        <f t="shared" si="0"/>
        <v>0</v>
      </c>
      <c r="G49" s="2"/>
      <c r="H49" s="2">
        <f>SUM(OSRRefH22_9x_0)</f>
        <v>1721.13</v>
      </c>
      <c r="I49" s="2"/>
      <c r="J49" s="6">
        <f t="shared" si="1"/>
        <v>0</v>
      </c>
      <c r="K49" s="2"/>
      <c r="L49" s="2">
        <f t="shared" si="2"/>
        <v>-582.29000000000019</v>
      </c>
      <c r="M49" s="2"/>
      <c r="N49" s="6">
        <f t="shared" si="3"/>
        <v>-0.33831843033356002</v>
      </c>
      <c r="O49" s="14"/>
      <c r="P49" s="2">
        <f>SUM(OSRRefP22_9x_0)</f>
        <v>23591.33</v>
      </c>
      <c r="Q49" s="2"/>
      <c r="R49" s="6">
        <f t="shared" si="4"/>
        <v>0</v>
      </c>
      <c r="S49" s="2"/>
      <c r="T49" s="2">
        <f>SUM(OSRRefT22_9x_0)</f>
        <v>4666.3599999999997</v>
      </c>
      <c r="U49" s="2"/>
      <c r="V49" s="6">
        <f t="shared" si="5"/>
        <v>0</v>
      </c>
      <c r="W49" s="2"/>
      <c r="X49" s="2">
        <f t="shared" si="6"/>
        <v>18924.97</v>
      </c>
      <c r="Y49" s="2"/>
      <c r="Z49" s="6">
        <f t="shared" si="7"/>
        <v>4.0556172262748698</v>
      </c>
    </row>
    <row r="50" spans="1:26" s="69" customFormat="1" ht="15" hidden="1" customHeight="1" outlineLevel="2" x14ac:dyDescent="0.3">
      <c r="A50" s="26"/>
      <c r="B50" s="12" t="str">
        <f>CONCATENATE("          ","6371"," - ","COMPUTER SOFTWARE MAINTENANCE")</f>
        <v xml:space="preserve">          6371 - COMPUTER SOFTWARE MAINTENANCE</v>
      </c>
      <c r="C50" s="12"/>
      <c r="D50" s="8"/>
      <c r="E50" s="3"/>
      <c r="F50" s="7">
        <f t="shared" ref="F50:F66" si="8">IF(D$12=0,0,D50/D$12)</f>
        <v>0</v>
      </c>
      <c r="G50" s="3"/>
      <c r="H50" s="8">
        <v>702.27</v>
      </c>
      <c r="I50" s="3"/>
      <c r="J50" s="7">
        <f t="shared" ref="J50:J66" si="9">IF(H$12=0,0,H50/H$12)</f>
        <v>0</v>
      </c>
      <c r="K50" s="3"/>
      <c r="L50" s="8">
        <f t="shared" ref="L50:L66" si="10">+D50-H50</f>
        <v>-702.27</v>
      </c>
      <c r="M50" s="3"/>
      <c r="N50" s="7">
        <f t="shared" ref="N50:N66" si="11">IF(H50=0,0,L50/H50)</f>
        <v>-1</v>
      </c>
      <c r="O50" s="12"/>
      <c r="P50" s="8">
        <v>6817.17</v>
      </c>
      <c r="Q50" s="3"/>
      <c r="R50" s="7">
        <f t="shared" ref="R50:R66" si="12">IF(P$12=0,0,P50/P$12)</f>
        <v>0</v>
      </c>
      <c r="S50" s="3"/>
      <c r="T50" s="8">
        <v>702.27</v>
      </c>
      <c r="U50" s="3"/>
      <c r="V50" s="7">
        <f t="shared" ref="V50:V66" si="13">IF(T$12=0,0,T50/T$12)</f>
        <v>0</v>
      </c>
      <c r="W50" s="3"/>
      <c r="X50" s="8">
        <f t="shared" ref="X50:X66" si="14">+P50-T50</f>
        <v>6114.9</v>
      </c>
      <c r="Y50" s="3"/>
      <c r="Z50" s="7">
        <f t="shared" ref="Z50:Z66" si="15">IF(T50=0,0,X50/T50)</f>
        <v>8.7073347857661574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>
        <v>538.66999999999996</v>
      </c>
      <c r="E51" s="3"/>
      <c r="F51" s="7">
        <f t="shared" si="8"/>
        <v>0</v>
      </c>
      <c r="G51" s="3"/>
      <c r="H51" s="8"/>
      <c r="I51" s="3"/>
      <c r="J51" s="7">
        <f t="shared" si="9"/>
        <v>0</v>
      </c>
      <c r="K51" s="3"/>
      <c r="L51" s="8">
        <f t="shared" si="10"/>
        <v>538.66999999999996</v>
      </c>
      <c r="M51" s="3"/>
      <c r="N51" s="7">
        <f t="shared" si="11"/>
        <v>0</v>
      </c>
      <c r="O51" s="12"/>
      <c r="P51" s="8">
        <v>7252.63</v>
      </c>
      <c r="Q51" s="3"/>
      <c r="R51" s="7">
        <f t="shared" si="12"/>
        <v>0</v>
      </c>
      <c r="S51" s="3"/>
      <c r="T51" s="8">
        <v>2131.1999999999998</v>
      </c>
      <c r="U51" s="3"/>
      <c r="V51" s="7">
        <f t="shared" si="13"/>
        <v>0</v>
      </c>
      <c r="W51" s="3"/>
      <c r="X51" s="8">
        <f t="shared" si="14"/>
        <v>5121.43</v>
      </c>
      <c r="Y51" s="3"/>
      <c r="Z51" s="7">
        <f t="shared" si="15"/>
        <v>2.4030733858858864</v>
      </c>
    </row>
    <row r="52" spans="1:26" s="69" customFormat="1" ht="15" hidden="1" customHeight="1" outlineLevel="2" x14ac:dyDescent="0.3">
      <c r="A52" s="26"/>
      <c r="B52" s="12" t="str">
        <f>CONCATENATE("          ","6375"," - ","OUTSIDE REPAIRS &amp; MAINTENANCE")</f>
        <v xml:space="preserve">          6375 - OUTSIDE REPAIRS &amp; MAINTENANCE</v>
      </c>
      <c r="C52" s="12"/>
      <c r="D52" s="8">
        <v>600.16999999999996</v>
      </c>
      <c r="E52" s="3"/>
      <c r="F52" s="7">
        <f t="shared" si="8"/>
        <v>0</v>
      </c>
      <c r="G52" s="3"/>
      <c r="H52" s="8">
        <v>1018.86</v>
      </c>
      <c r="I52" s="3"/>
      <c r="J52" s="7">
        <f t="shared" si="9"/>
        <v>0</v>
      </c>
      <c r="K52" s="3"/>
      <c r="L52" s="8">
        <f t="shared" si="10"/>
        <v>-418.69000000000005</v>
      </c>
      <c r="M52" s="3"/>
      <c r="N52" s="7">
        <f t="shared" si="11"/>
        <v>-0.4109396776789746</v>
      </c>
      <c r="O52" s="12"/>
      <c r="P52" s="8">
        <v>9521.5300000000007</v>
      </c>
      <c r="Q52" s="3"/>
      <c r="R52" s="7">
        <f t="shared" si="12"/>
        <v>0</v>
      </c>
      <c r="S52" s="3"/>
      <c r="T52" s="8">
        <v>1832.89</v>
      </c>
      <c r="U52" s="3"/>
      <c r="V52" s="7">
        <f t="shared" si="13"/>
        <v>0</v>
      </c>
      <c r="W52" s="3"/>
      <c r="X52" s="8">
        <f t="shared" si="14"/>
        <v>7688.64</v>
      </c>
      <c r="Y52" s="3"/>
      <c r="Z52" s="7">
        <f t="shared" si="15"/>
        <v>4.1948180196302012</v>
      </c>
    </row>
    <row r="53" spans="1:26" s="68" customFormat="1" ht="15" customHeight="1" outlineLevel="1" collapsed="1" x14ac:dyDescent="0.3">
      <c r="A53" s="25"/>
      <c r="B53" s="14" t="str">
        <f>CONCATENATE("     ","Services                                          ")</f>
        <v xml:space="preserve">     Services                                          </v>
      </c>
      <c r="C53" s="14"/>
      <c r="D53" s="2">
        <f>SUM(OSRRefD22_10x_0)</f>
        <v>670.1</v>
      </c>
      <c r="E53" s="2"/>
      <c r="F53" s="6">
        <f t="shared" si="8"/>
        <v>0</v>
      </c>
      <c r="G53" s="2"/>
      <c r="H53" s="2">
        <f>SUM(OSRRefH22_10x_0)</f>
        <v>4880.26</v>
      </c>
      <c r="I53" s="2"/>
      <c r="J53" s="6">
        <f t="shared" si="9"/>
        <v>0</v>
      </c>
      <c r="K53" s="2"/>
      <c r="L53" s="2">
        <f t="shared" si="10"/>
        <v>-4210.16</v>
      </c>
      <c r="M53" s="2"/>
      <c r="N53" s="6">
        <f t="shared" si="11"/>
        <v>-0.86269174183342678</v>
      </c>
      <c r="O53" s="14"/>
      <c r="P53" s="2">
        <f>SUM(OSRRefP22_10x_0)</f>
        <v>9035.1200000000008</v>
      </c>
      <c r="Q53" s="2"/>
      <c r="R53" s="6">
        <f t="shared" si="12"/>
        <v>0</v>
      </c>
      <c r="S53" s="2"/>
      <c r="T53" s="2">
        <f>SUM(OSRRefT22_10x_0)</f>
        <v>25027.56</v>
      </c>
      <c r="U53" s="2"/>
      <c r="V53" s="6">
        <f t="shared" si="13"/>
        <v>0</v>
      </c>
      <c r="W53" s="2"/>
      <c r="X53" s="2">
        <f t="shared" si="14"/>
        <v>-15992.44</v>
      </c>
      <c r="Y53" s="2"/>
      <c r="Z53" s="6">
        <f t="shared" si="15"/>
        <v>-0.63899317392506505</v>
      </c>
    </row>
    <row r="54" spans="1:26" s="69" customFormat="1" ht="15" hidden="1" customHeight="1" outlineLevel="2" x14ac:dyDescent="0.3">
      <c r="A54" s="26"/>
      <c r="B54" s="12" t="str">
        <f>CONCATENATE("          ","6282"," - ","JANITORIAL/EXTERMINATOR EXPENS")</f>
        <v xml:space="preserve">          6282 - JANITORIAL/EXTERMINATOR EXPENS</v>
      </c>
      <c r="C54" s="12"/>
      <c r="D54" s="8">
        <v>670.1</v>
      </c>
      <c r="E54" s="3"/>
      <c r="F54" s="7">
        <f t="shared" si="8"/>
        <v>0</v>
      </c>
      <c r="G54" s="3"/>
      <c r="H54" s="8">
        <v>626.26</v>
      </c>
      <c r="I54" s="3"/>
      <c r="J54" s="7">
        <f t="shared" si="9"/>
        <v>0</v>
      </c>
      <c r="K54" s="3"/>
      <c r="L54" s="8">
        <f t="shared" si="10"/>
        <v>43.840000000000032</v>
      </c>
      <c r="M54" s="3"/>
      <c r="N54" s="7">
        <f t="shared" si="11"/>
        <v>7.0002874205601556E-2</v>
      </c>
      <c r="O54" s="12"/>
      <c r="P54" s="8">
        <v>5360.8</v>
      </c>
      <c r="Q54" s="3"/>
      <c r="R54" s="7">
        <f t="shared" si="12"/>
        <v>0</v>
      </c>
      <c r="S54" s="3"/>
      <c r="T54" s="8">
        <v>3757.56</v>
      </c>
      <c r="U54" s="3"/>
      <c r="V54" s="7">
        <f t="shared" si="13"/>
        <v>0</v>
      </c>
      <c r="W54" s="3"/>
      <c r="X54" s="8">
        <f t="shared" si="14"/>
        <v>1603.2400000000002</v>
      </c>
      <c r="Y54" s="3"/>
      <c r="Z54" s="7">
        <f t="shared" si="15"/>
        <v>0.42667049894080206</v>
      </c>
    </row>
    <row r="55" spans="1:26" s="69" customFormat="1" ht="15" hidden="1" customHeight="1" outlineLevel="2" x14ac:dyDescent="0.3">
      <c r="A55" s="26"/>
      <c r="B55" s="12" t="str">
        <f>CONCATENATE("          ","6284"," - ","TRASH REMOVAL EXPENSE")</f>
        <v xml:space="preserve">          6284 - TRASH REMOVAL EXPENSE</v>
      </c>
      <c r="C55" s="12"/>
      <c r="D55" s="8"/>
      <c r="E55" s="3"/>
      <c r="F55" s="7">
        <f t="shared" si="8"/>
        <v>0</v>
      </c>
      <c r="G55" s="3"/>
      <c r="H55" s="8">
        <v>4254</v>
      </c>
      <c r="I55" s="3"/>
      <c r="J55" s="7">
        <f t="shared" si="9"/>
        <v>0</v>
      </c>
      <c r="K55" s="3"/>
      <c r="L55" s="8">
        <f t="shared" si="10"/>
        <v>-4254</v>
      </c>
      <c r="M55" s="3"/>
      <c r="N55" s="7">
        <f t="shared" si="11"/>
        <v>-1</v>
      </c>
      <c r="O55" s="12"/>
      <c r="P55" s="8"/>
      <c r="Q55" s="3"/>
      <c r="R55" s="7">
        <f t="shared" si="12"/>
        <v>0</v>
      </c>
      <c r="S55" s="3"/>
      <c r="T55" s="8">
        <v>21270</v>
      </c>
      <c r="U55" s="3"/>
      <c r="V55" s="7">
        <f t="shared" si="13"/>
        <v>0</v>
      </c>
      <c r="W55" s="3"/>
      <c r="X55" s="8">
        <f t="shared" si="14"/>
        <v>-21270</v>
      </c>
      <c r="Y55" s="3"/>
      <c r="Z55" s="7">
        <f t="shared" si="15"/>
        <v>-1</v>
      </c>
    </row>
    <row r="56" spans="1:26" s="69" customFormat="1" ht="15" hidden="1" customHeight="1" outlineLevel="2" x14ac:dyDescent="0.3">
      <c r="A56" s="26"/>
      <c r="B56" s="12" t="str">
        <f>CONCATENATE("          ","6285"," - ","JANITORIAL SERVICES")</f>
        <v xml:space="preserve">          6285 - JANITORIAL SERVICES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3674.32</v>
      </c>
      <c r="Q56" s="3"/>
      <c r="R56" s="7">
        <f t="shared" si="12"/>
        <v>0</v>
      </c>
      <c r="S56" s="3"/>
      <c r="T56" s="8"/>
      <c r="U56" s="3"/>
      <c r="V56" s="7">
        <f t="shared" si="13"/>
        <v>0</v>
      </c>
      <c r="W56" s="3"/>
      <c r="X56" s="8">
        <f t="shared" si="14"/>
        <v>3674.32</v>
      </c>
      <c r="Y56" s="3"/>
      <c r="Z56" s="7">
        <f t="shared" si="15"/>
        <v>0</v>
      </c>
    </row>
    <row r="57" spans="1:26" s="68" customFormat="1" ht="15" customHeight="1" outlineLevel="1" collapsed="1" x14ac:dyDescent="0.3">
      <c r="A57" s="25"/>
      <c r="B57" s="14" t="str">
        <f>CONCATENATE("     ","Supplies                                          ")</f>
        <v xml:space="preserve">     Supplies                                          </v>
      </c>
      <c r="C57" s="14"/>
      <c r="D57" s="2">
        <f>SUM(OSRRefD22_11x_0)</f>
        <v>6.63</v>
      </c>
      <c r="E57" s="2"/>
      <c r="F57" s="6">
        <f t="shared" si="8"/>
        <v>0</v>
      </c>
      <c r="G57" s="2"/>
      <c r="H57" s="2">
        <f>SUM(OSRRefH22_11x_0)</f>
        <v>0</v>
      </c>
      <c r="I57" s="2"/>
      <c r="J57" s="6">
        <f t="shared" si="9"/>
        <v>0</v>
      </c>
      <c r="K57" s="2"/>
      <c r="L57" s="2">
        <f t="shared" si="10"/>
        <v>6.63</v>
      </c>
      <c r="M57" s="2"/>
      <c r="N57" s="6">
        <f t="shared" si="11"/>
        <v>0</v>
      </c>
      <c r="O57" s="14"/>
      <c r="P57" s="2">
        <f>SUM(OSRRefP22_11x_0)</f>
        <v>493.98</v>
      </c>
      <c r="Q57" s="2"/>
      <c r="R57" s="6">
        <f t="shared" si="12"/>
        <v>0</v>
      </c>
      <c r="S57" s="2"/>
      <c r="T57" s="2">
        <f>SUM(OSRRefT22_11x_0)</f>
        <v>-29072.880000000001</v>
      </c>
      <c r="U57" s="2"/>
      <c r="V57" s="6">
        <f t="shared" si="13"/>
        <v>0</v>
      </c>
      <c r="W57" s="2"/>
      <c r="X57" s="2">
        <f t="shared" si="14"/>
        <v>29566.86</v>
      </c>
      <c r="Y57" s="2"/>
      <c r="Z57" s="6">
        <f t="shared" si="15"/>
        <v>-1.0169910927297192</v>
      </c>
    </row>
    <row r="58" spans="1:26" s="69" customFormat="1" ht="15" hidden="1" customHeight="1" outlineLevel="2" x14ac:dyDescent="0.3">
      <c r="A58" s="26"/>
      <c r="B58" s="12" t="str">
        <f>CONCATENATE("          ","6235"," - ","COVID-19 EXPENSES")</f>
        <v xml:space="preserve">          6235 - COVID-19 EXPENSES</v>
      </c>
      <c r="C58" s="12"/>
      <c r="D58" s="8"/>
      <c r="E58" s="3"/>
      <c r="F58" s="7">
        <f t="shared" si="8"/>
        <v>0</v>
      </c>
      <c r="G58" s="3"/>
      <c r="H58" s="8"/>
      <c r="I58" s="3"/>
      <c r="J58" s="7">
        <f t="shared" si="9"/>
        <v>0</v>
      </c>
      <c r="K58" s="3"/>
      <c r="L58" s="8">
        <f t="shared" si="10"/>
        <v>0</v>
      </c>
      <c r="M58" s="3"/>
      <c r="N58" s="7">
        <f t="shared" si="11"/>
        <v>0</v>
      </c>
      <c r="O58" s="12"/>
      <c r="P58" s="8">
        <v>318.42</v>
      </c>
      <c r="Q58" s="3"/>
      <c r="R58" s="7">
        <f t="shared" si="12"/>
        <v>0</v>
      </c>
      <c r="S58" s="3"/>
      <c r="T58" s="8">
        <v>127.89</v>
      </c>
      <c r="U58" s="3"/>
      <c r="V58" s="7">
        <f t="shared" si="13"/>
        <v>0</v>
      </c>
      <c r="W58" s="3"/>
      <c r="X58" s="8">
        <f t="shared" si="14"/>
        <v>190.53000000000003</v>
      </c>
      <c r="Y58" s="3"/>
      <c r="Z58" s="7">
        <f t="shared" si="15"/>
        <v>1.4897959183673473</v>
      </c>
    </row>
    <row r="59" spans="1:26" s="69" customFormat="1" ht="15" hidden="1" customHeight="1" outlineLevel="2" x14ac:dyDescent="0.3">
      <c r="A59" s="26"/>
      <c r="B59" s="12" t="str">
        <f>CONCATENATE("          ","6241"," - ","OFFICE EXPENSE")</f>
        <v xml:space="preserve">          6241 - OFFICE EXPENSE</v>
      </c>
      <c r="C59" s="12"/>
      <c r="D59" s="8">
        <v>6.63</v>
      </c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6.63</v>
      </c>
      <c r="M59" s="3"/>
      <c r="N59" s="7">
        <f t="shared" si="11"/>
        <v>0</v>
      </c>
      <c r="O59" s="12"/>
      <c r="P59" s="8">
        <v>175.56</v>
      </c>
      <c r="Q59" s="3"/>
      <c r="R59" s="7">
        <f t="shared" si="12"/>
        <v>0</v>
      </c>
      <c r="S59" s="3"/>
      <c r="T59" s="8">
        <v>-29200.77</v>
      </c>
      <c r="U59" s="3"/>
      <c r="V59" s="7">
        <f t="shared" si="13"/>
        <v>0</v>
      </c>
      <c r="W59" s="3"/>
      <c r="X59" s="8">
        <f t="shared" si="14"/>
        <v>29376.33</v>
      </c>
      <c r="Y59" s="3"/>
      <c r="Z59" s="7">
        <f t="shared" si="15"/>
        <v>-1.0060121702270179</v>
      </c>
    </row>
    <row r="60" spans="1:26" s="68" customFormat="1" ht="15" customHeight="1" outlineLevel="1" collapsed="1" x14ac:dyDescent="0.3">
      <c r="A60" s="25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SUM(OSRRefD22_12x_0)</f>
        <v>188.3</v>
      </c>
      <c r="E60" s="2"/>
      <c r="F60" s="6">
        <f t="shared" si="8"/>
        <v>0</v>
      </c>
      <c r="G60" s="2"/>
      <c r="H60" s="2">
        <f>SUM(OSRRefH22_12x_0)</f>
        <v>93.1</v>
      </c>
      <c r="I60" s="2"/>
      <c r="J60" s="6">
        <f t="shared" si="9"/>
        <v>0</v>
      </c>
      <c r="K60" s="2"/>
      <c r="L60" s="2">
        <f t="shared" si="10"/>
        <v>95.200000000000017</v>
      </c>
      <c r="M60" s="2"/>
      <c r="N60" s="6">
        <f t="shared" si="11"/>
        <v>1.0225563909774438</v>
      </c>
      <c r="O60" s="14"/>
      <c r="P60" s="2">
        <f>SUM(OSRRefP22_12x_0)</f>
        <v>1539.11</v>
      </c>
      <c r="Q60" s="2"/>
      <c r="R60" s="6">
        <f t="shared" si="12"/>
        <v>0</v>
      </c>
      <c r="S60" s="2"/>
      <c r="T60" s="2">
        <f>SUM(OSRRefT22_12x_0)</f>
        <v>1572.63</v>
      </c>
      <c r="U60" s="2"/>
      <c r="V60" s="6">
        <f t="shared" si="13"/>
        <v>0</v>
      </c>
      <c r="W60" s="2"/>
      <c r="X60" s="2">
        <f t="shared" si="14"/>
        <v>-33.520000000000209</v>
      </c>
      <c r="Y60" s="2"/>
      <c r="Z60" s="6">
        <f t="shared" si="15"/>
        <v>-2.1314613100347955E-2</v>
      </c>
    </row>
    <row r="61" spans="1:26" s="69" customFormat="1" ht="15" hidden="1" customHeight="1" outlineLevel="2" x14ac:dyDescent="0.3">
      <c r="A61" s="26"/>
      <c r="B61" s="12" t="str">
        <f>CONCATENATE("          ","6309"," - ","TELEPHONE")</f>
        <v xml:space="preserve">          6309 - TELEPHONE</v>
      </c>
      <c r="C61" s="12"/>
      <c r="D61" s="8">
        <v>188.3</v>
      </c>
      <c r="E61" s="3"/>
      <c r="F61" s="7">
        <f t="shared" si="8"/>
        <v>0</v>
      </c>
      <c r="G61" s="3"/>
      <c r="H61" s="8">
        <v>93.1</v>
      </c>
      <c r="I61" s="3"/>
      <c r="J61" s="7">
        <f t="shared" si="9"/>
        <v>0</v>
      </c>
      <c r="K61" s="3"/>
      <c r="L61" s="8">
        <f t="shared" si="10"/>
        <v>95.200000000000017</v>
      </c>
      <c r="M61" s="3"/>
      <c r="N61" s="7">
        <f t="shared" si="11"/>
        <v>1.0225563909774438</v>
      </c>
      <c r="O61" s="12"/>
      <c r="P61" s="8">
        <v>1539.11</v>
      </c>
      <c r="Q61" s="3"/>
      <c r="R61" s="7">
        <f t="shared" si="12"/>
        <v>0</v>
      </c>
      <c r="S61" s="3"/>
      <c r="T61" s="8">
        <v>1572.63</v>
      </c>
      <c r="U61" s="3"/>
      <c r="V61" s="7">
        <f t="shared" si="13"/>
        <v>0</v>
      </c>
      <c r="W61" s="3"/>
      <c r="X61" s="8">
        <f t="shared" si="14"/>
        <v>-33.520000000000209</v>
      </c>
      <c r="Y61" s="3"/>
      <c r="Z61" s="7">
        <f t="shared" si="15"/>
        <v>-2.1314613100347955E-2</v>
      </c>
    </row>
    <row r="62" spans="1:26" s="68" customFormat="1" ht="15" customHeight="1" outlineLevel="1" collapsed="1" x14ac:dyDescent="0.3">
      <c r="A62" s="25"/>
      <c r="B62" s="14" t="str">
        <f>CONCATENATE("     ","Travel                                            ")</f>
        <v xml:space="preserve">     Travel                                            </v>
      </c>
      <c r="C62" s="14"/>
      <c r="D62" s="2">
        <f>SUM(OSRRefD22_13x_0)</f>
        <v>122.65</v>
      </c>
      <c r="E62" s="2"/>
      <c r="F62" s="6">
        <f t="shared" si="8"/>
        <v>0</v>
      </c>
      <c r="G62" s="2"/>
      <c r="H62" s="2">
        <f>SUM(OSRRefH22_13x_0)</f>
        <v>0</v>
      </c>
      <c r="I62" s="2"/>
      <c r="J62" s="6">
        <f t="shared" si="9"/>
        <v>0</v>
      </c>
      <c r="K62" s="2"/>
      <c r="L62" s="2">
        <f t="shared" si="10"/>
        <v>122.65</v>
      </c>
      <c r="M62" s="2"/>
      <c r="N62" s="6">
        <f t="shared" si="11"/>
        <v>0</v>
      </c>
      <c r="O62" s="14"/>
      <c r="P62" s="2">
        <f>SUM(OSRRefP22_13x_0)</f>
        <v>141.24</v>
      </c>
      <c r="Q62" s="2"/>
      <c r="R62" s="6">
        <f t="shared" si="12"/>
        <v>0</v>
      </c>
      <c r="S62" s="2"/>
      <c r="T62" s="2">
        <f>SUM(OSRRefT22_13x_0)</f>
        <v>332.21</v>
      </c>
      <c r="U62" s="2"/>
      <c r="V62" s="6">
        <f t="shared" si="13"/>
        <v>0</v>
      </c>
      <c r="W62" s="2"/>
      <c r="X62" s="2">
        <f t="shared" si="14"/>
        <v>-190.96999999999997</v>
      </c>
      <c r="Y62" s="2"/>
      <c r="Z62" s="6">
        <f t="shared" si="15"/>
        <v>-0.5748472351825652</v>
      </c>
    </row>
    <row r="63" spans="1:26" s="69" customFormat="1" ht="15" hidden="1" customHeight="1" outlineLevel="2" x14ac:dyDescent="0.3">
      <c r="A63" s="26"/>
      <c r="B63" s="12" t="str">
        <f>CONCATENATE("          ","6292"," - ","TRAVEL/CONFERENCE")</f>
        <v xml:space="preserve">          6292 - TRAVEL/CONFERENCE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18.59</v>
      </c>
      <c r="Q63" s="3"/>
      <c r="R63" s="7">
        <f t="shared" si="12"/>
        <v>0</v>
      </c>
      <c r="S63" s="3"/>
      <c r="T63" s="8"/>
      <c r="U63" s="3"/>
      <c r="V63" s="7">
        <f t="shared" si="13"/>
        <v>0</v>
      </c>
      <c r="W63" s="3"/>
      <c r="X63" s="8">
        <f t="shared" si="14"/>
        <v>18.59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6"/>
      <c r="B64" s="12" t="str">
        <f>CONCATENATE("          ","6298"," - ","VEHICLE MILEAGE")</f>
        <v xml:space="preserve">          6298 - VEHICLE MILEAGE</v>
      </c>
      <c r="C64" s="12"/>
      <c r="D64" s="8">
        <v>122.65</v>
      </c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122.65</v>
      </c>
      <c r="M64" s="3"/>
      <c r="N64" s="7">
        <f t="shared" si="11"/>
        <v>0</v>
      </c>
      <c r="O64" s="12"/>
      <c r="P64" s="8">
        <v>122.65</v>
      </c>
      <c r="Q64" s="3"/>
      <c r="R64" s="7">
        <f t="shared" si="12"/>
        <v>0</v>
      </c>
      <c r="S64" s="3"/>
      <c r="T64" s="8">
        <v>332.21</v>
      </c>
      <c r="U64" s="3"/>
      <c r="V64" s="7">
        <f t="shared" si="13"/>
        <v>0</v>
      </c>
      <c r="W64" s="3"/>
      <c r="X64" s="8">
        <f t="shared" si="14"/>
        <v>-209.55999999999997</v>
      </c>
      <c r="Y64" s="3"/>
      <c r="Z64" s="7">
        <f t="shared" si="15"/>
        <v>-0.63080581559856708</v>
      </c>
    </row>
    <row r="65" spans="1:26" s="68" customFormat="1" ht="15" customHeight="1" outlineLevel="1" collapsed="1" x14ac:dyDescent="0.3">
      <c r="A65" s="25"/>
      <c r="B65" s="14" t="str">
        <f>CONCATENATE("     ","Utilities                                         ")</f>
        <v xml:space="preserve">     Utilities                                         </v>
      </c>
      <c r="C65" s="14"/>
      <c r="D65" s="2">
        <f>SUM(OSRRefD22_14x_0)</f>
        <v>5550</v>
      </c>
      <c r="E65" s="2"/>
      <c r="F65" s="6">
        <f t="shared" si="8"/>
        <v>0</v>
      </c>
      <c r="G65" s="2"/>
      <c r="H65" s="2">
        <f>SUM(OSRRefH22_14x_0)</f>
        <v>1000</v>
      </c>
      <c r="I65" s="2"/>
      <c r="J65" s="6">
        <f t="shared" si="9"/>
        <v>0</v>
      </c>
      <c r="K65" s="2"/>
      <c r="L65" s="2">
        <f t="shared" si="10"/>
        <v>4550</v>
      </c>
      <c r="M65" s="2"/>
      <c r="N65" s="6">
        <f t="shared" si="11"/>
        <v>4.55</v>
      </c>
      <c r="O65" s="14"/>
      <c r="P65" s="2">
        <f>SUM(OSRRefP22_14x_0)</f>
        <v>44400</v>
      </c>
      <c r="Q65" s="2"/>
      <c r="R65" s="6">
        <f t="shared" si="12"/>
        <v>0</v>
      </c>
      <c r="S65" s="2"/>
      <c r="T65" s="2">
        <f>SUM(OSRRefT22_14x_0)</f>
        <v>-11876</v>
      </c>
      <c r="U65" s="2"/>
      <c r="V65" s="6">
        <f t="shared" si="13"/>
        <v>0</v>
      </c>
      <c r="W65" s="2"/>
      <c r="X65" s="2">
        <f t="shared" si="14"/>
        <v>56276</v>
      </c>
      <c r="Y65" s="2"/>
      <c r="Z65" s="6">
        <f t="shared" si="15"/>
        <v>-4.7386325362074775</v>
      </c>
    </row>
    <row r="66" spans="1:26" s="69" customFormat="1" ht="15" hidden="1" customHeight="1" outlineLevel="2" x14ac:dyDescent="0.3">
      <c r="A66" s="26"/>
      <c r="B66" s="12" t="str">
        <f>CONCATENATE("          ","6274"," - ","UTILITIES")</f>
        <v xml:space="preserve">          6274 - UTILITIES</v>
      </c>
      <c r="C66" s="12"/>
      <c r="D66" s="8">
        <v>5550</v>
      </c>
      <c r="E66" s="3"/>
      <c r="F66" s="7">
        <f t="shared" si="8"/>
        <v>0</v>
      </c>
      <c r="G66" s="3"/>
      <c r="H66" s="8">
        <v>1000</v>
      </c>
      <c r="I66" s="3"/>
      <c r="J66" s="7">
        <f t="shared" si="9"/>
        <v>0</v>
      </c>
      <c r="K66" s="3"/>
      <c r="L66" s="8">
        <f t="shared" si="10"/>
        <v>4550</v>
      </c>
      <c r="M66" s="3"/>
      <c r="N66" s="7">
        <f t="shared" si="11"/>
        <v>4.55</v>
      </c>
      <c r="O66" s="12"/>
      <c r="P66" s="8">
        <v>44400</v>
      </c>
      <c r="Q66" s="3"/>
      <c r="R66" s="7">
        <f t="shared" si="12"/>
        <v>0</v>
      </c>
      <c r="S66" s="3"/>
      <c r="T66" s="8">
        <v>-11876</v>
      </c>
      <c r="U66" s="3"/>
      <c r="V66" s="7">
        <f t="shared" si="13"/>
        <v>0</v>
      </c>
      <c r="W66" s="3"/>
      <c r="X66" s="8">
        <f t="shared" si="14"/>
        <v>56276</v>
      </c>
      <c r="Y66" s="3"/>
      <c r="Z66" s="7">
        <f t="shared" si="15"/>
        <v>-4.7386325362074775</v>
      </c>
    </row>
    <row r="67" spans="1:26" s="64" customFormat="1" ht="15" customHeight="1" x14ac:dyDescent="0.3">
      <c r="A67" s="36"/>
      <c r="B67" s="36"/>
      <c r="C67" s="36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3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62" customFormat="1" ht="15" customHeight="1" collapsed="1" x14ac:dyDescent="0.3">
      <c r="A68" s="11"/>
      <c r="B68" s="27" t="s">
        <v>290</v>
      </c>
      <c r="C68" s="11"/>
      <c r="D68" s="5">
        <f>SUM(OSRRefD25x_0)</f>
        <v>0</v>
      </c>
      <c r="E68" s="5"/>
      <c r="F68" s="13">
        <f>IF(D$12=0,0,D68/D$12)</f>
        <v>0</v>
      </c>
      <c r="G68" s="5"/>
      <c r="H68" s="5">
        <f>SUM(OSRRefH25x_0)</f>
        <v>0</v>
      </c>
      <c r="I68" s="5"/>
      <c r="J68" s="13">
        <f>IF(H$12=0,0,H68/H$12)</f>
        <v>0</v>
      </c>
      <c r="K68" s="5"/>
      <c r="L68" s="5">
        <f>+D68-H68</f>
        <v>0</v>
      </c>
      <c r="M68" s="5"/>
      <c r="N68" s="13">
        <f>IF(H68=0,0,L68/H68)</f>
        <v>0</v>
      </c>
      <c r="O68" s="11"/>
      <c r="P68" s="5">
        <f>SUM(OSRRefP25x_0)</f>
        <v>14577.17</v>
      </c>
      <c r="Q68" s="5"/>
      <c r="R68" s="13">
        <f>IF(P$12=0,0,P68/P$12)</f>
        <v>0</v>
      </c>
      <c r="S68" s="5"/>
      <c r="T68" s="5">
        <f>SUM(OSRRefT25x_0)</f>
        <v>2432.98</v>
      </c>
      <c r="U68" s="5"/>
      <c r="V68" s="13">
        <f>IF(T$12=0,0,T68/T$12)</f>
        <v>0</v>
      </c>
      <c r="W68" s="5"/>
      <c r="X68" s="5">
        <f>+P68-T68</f>
        <v>12144.19</v>
      </c>
      <c r="Y68" s="5"/>
      <c r="Z68" s="13">
        <f>IF(T68=0,0,X68/T68)</f>
        <v>4.9914878050785454</v>
      </c>
    </row>
    <row r="69" spans="1:26" s="69" customFormat="1" ht="15" hidden="1" customHeight="1" outlineLevel="1" x14ac:dyDescent="0.3">
      <c r="A69" s="42"/>
      <c r="B69" s="12" t="str">
        <f>CONCATENATE("          ","9150"," - ","MISC. INCOME")</f>
        <v xml:space="preserve">          9150 - MISC. INCOME</v>
      </c>
      <c r="C69" s="12"/>
      <c r="D69" s="3">
        <f>0</f>
        <v>0</v>
      </c>
      <c r="E69" s="3"/>
      <c r="F69" s="20">
        <f>IF(D$12=0,0,D69/D$12)</f>
        <v>0</v>
      </c>
      <c r="G69" s="3"/>
      <c r="H69" s="3">
        <f>0</f>
        <v>0</v>
      </c>
      <c r="I69" s="3"/>
      <c r="J69" s="20">
        <f>IF(H$12=0,0,H69/H$12)</f>
        <v>0</v>
      </c>
      <c r="K69" s="3"/>
      <c r="L69" s="3">
        <f>+D69-H69</f>
        <v>0</v>
      </c>
      <c r="M69" s="3"/>
      <c r="N69" s="20">
        <f>IF(H69=0,0,L69/H69)</f>
        <v>0</v>
      </c>
      <c r="O69" s="12"/>
      <c r="P69" s="3">
        <f>--14577.17</f>
        <v>14577.17</v>
      </c>
      <c r="Q69" s="3"/>
      <c r="R69" s="20">
        <f>IF(P$12=0,0,P69/P$12)</f>
        <v>0</v>
      </c>
      <c r="S69" s="3"/>
      <c r="T69" s="3">
        <f>--1616.63</f>
        <v>1616.63</v>
      </c>
      <c r="U69" s="3"/>
      <c r="V69" s="20">
        <f>IF(T$12=0,0,T69/T$12)</f>
        <v>0</v>
      </c>
      <c r="W69" s="3"/>
      <c r="X69" s="3">
        <f>+P69-T69</f>
        <v>12960.54</v>
      </c>
      <c r="Y69" s="3"/>
      <c r="Z69" s="20">
        <f>IF(T69=0,0,X69/T69)</f>
        <v>8.0170106950879294</v>
      </c>
    </row>
    <row r="70" spans="1:26" s="69" customFormat="1" ht="15" hidden="1" customHeight="1" outlineLevel="1" x14ac:dyDescent="0.3">
      <c r="A70" s="42"/>
      <c r="B70" s="12" t="str">
        <f>CONCATENATE("          ","9160"," - ","MISC. INCOME")</f>
        <v xml:space="preserve">          9160 - MISC. INCOME</v>
      </c>
      <c r="C70" s="12"/>
      <c r="D70" s="3">
        <f>0</f>
        <v>0</v>
      </c>
      <c r="E70" s="3"/>
      <c r="F70" s="20">
        <f>IF(D$12=0,0,D70/D$12)</f>
        <v>0</v>
      </c>
      <c r="G70" s="3"/>
      <c r="H70" s="3">
        <f>0</f>
        <v>0</v>
      </c>
      <c r="I70" s="3"/>
      <c r="J70" s="20">
        <f>IF(H$12=0,0,H70/H$12)</f>
        <v>0</v>
      </c>
      <c r="K70" s="3"/>
      <c r="L70" s="3">
        <f>+D70-H70</f>
        <v>0</v>
      </c>
      <c r="M70" s="3"/>
      <c r="N70" s="20">
        <f>IF(H70=0,0,L70/H70)</f>
        <v>0</v>
      </c>
      <c r="O70" s="12"/>
      <c r="P70" s="3">
        <f>0</f>
        <v>0</v>
      </c>
      <c r="Q70" s="3"/>
      <c r="R70" s="20">
        <f>IF(P$12=0,0,P70/P$12)</f>
        <v>0</v>
      </c>
      <c r="S70" s="3"/>
      <c r="T70" s="3">
        <f>--816.35</f>
        <v>816.35</v>
      </c>
      <c r="U70" s="3"/>
      <c r="V70" s="20">
        <f>IF(T$12=0,0,T70/T$12)</f>
        <v>0</v>
      </c>
      <c r="W70" s="3"/>
      <c r="X70" s="3">
        <f>+P70-T70</f>
        <v>-816.35</v>
      </c>
      <c r="Y70" s="3"/>
      <c r="Z70" s="20">
        <f>IF(T70=0,0,X70/T70)</f>
        <v>-1</v>
      </c>
    </row>
    <row r="71" spans="1:26" ht="15" customHeight="1" x14ac:dyDescent="0.3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2" customFormat="1" ht="15" customHeight="1" x14ac:dyDescent="0.3">
      <c r="A72" s="11"/>
      <c r="B72" s="28" t="s">
        <v>291</v>
      </c>
      <c r="C72" s="28"/>
      <c r="D72" s="23">
        <f>+D16-D18+D68</f>
        <v>-43353.869999999995</v>
      </c>
      <c r="E72" s="15"/>
      <c r="F72" s="22">
        <f>IF(D$12=0,0,D72/D$12)</f>
        <v>0</v>
      </c>
      <c r="G72" s="15"/>
      <c r="H72" s="23">
        <f>+H16-H18+H68</f>
        <v>-35083.659999999996</v>
      </c>
      <c r="I72" s="15"/>
      <c r="J72" s="22">
        <f>IF(H$12=0,0,H72/H$12)</f>
        <v>0</v>
      </c>
      <c r="K72" s="17"/>
      <c r="L72" s="23">
        <f>+D72-H72</f>
        <v>-8270.2099999999991</v>
      </c>
      <c r="M72" s="17"/>
      <c r="N72" s="22">
        <f>IF(H72=0,0,L72/H72)</f>
        <v>0.23572825640198314</v>
      </c>
      <c r="O72" s="27"/>
      <c r="P72" s="23">
        <f>+P16-P18+P68</f>
        <v>-383717.64000000007</v>
      </c>
      <c r="Q72" s="15"/>
      <c r="R72" s="22">
        <f>IF(P$12=0,0,P72/P$12)</f>
        <v>0</v>
      </c>
      <c r="S72" s="15"/>
      <c r="T72" s="23">
        <f>+T16-T18+T68</f>
        <v>-222503.52000000005</v>
      </c>
      <c r="U72" s="15"/>
      <c r="V72" s="22">
        <f>IF(T$12=0,0,T72/T$12)</f>
        <v>0</v>
      </c>
      <c r="W72" s="17"/>
      <c r="X72" s="23">
        <f>+P72-T72</f>
        <v>-161214.12000000002</v>
      </c>
      <c r="Y72" s="17"/>
      <c r="Z72" s="22">
        <f>IF(T72=0,0,X72/T72)</f>
        <v>0.72454638021007478</v>
      </c>
    </row>
    <row r="73" spans="1:26" ht="15" customHeight="1" x14ac:dyDescent="0.3">
      <c r="A73" s="10"/>
      <c r="B73" s="11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2" customFormat="1" ht="15" customHeight="1" x14ac:dyDescent="0.3">
      <c r="A74" s="48"/>
      <c r="B74" s="11" t="s">
        <v>292</v>
      </c>
      <c r="C74" s="11"/>
      <c r="D74" s="5"/>
      <c r="E74" s="5"/>
      <c r="F74" s="13">
        <f>IF(D$12=0,0,D74/D$12)</f>
        <v>0</v>
      </c>
      <c r="G74" s="5"/>
      <c r="H74" s="5"/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/>
      <c r="Q74" s="5"/>
      <c r="R74" s="13">
        <f>IF(P$12=0,0,P74/P$12)</f>
        <v>0</v>
      </c>
      <c r="S74" s="5"/>
      <c r="T74" s="5"/>
      <c r="U74" s="5"/>
      <c r="V74" s="13">
        <f>IF(T$12=0,0,T74/T$12)</f>
        <v>0</v>
      </c>
      <c r="W74" s="5"/>
      <c r="X74" s="5">
        <f>+P74-T74</f>
        <v>0</v>
      </c>
      <c r="Y74" s="5"/>
      <c r="Z74" s="13">
        <f>IF(T74=0,0,X74/T74)</f>
        <v>0</v>
      </c>
    </row>
    <row r="75" spans="1:26" ht="15" customHeight="1" x14ac:dyDescent="0.3">
      <c r="A75" s="10"/>
      <c r="B75" s="11"/>
      <c r="C75" s="11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O75" s="11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293</v>
      </c>
      <c r="C76" s="28"/>
      <c r="D76" s="33">
        <f>+D72-D74</f>
        <v>-43353.869999999995</v>
      </c>
      <c r="E76" s="15"/>
      <c r="F76" s="34">
        <f>IF(D$12=0,0,D76/D$12)</f>
        <v>0</v>
      </c>
      <c r="G76" s="15"/>
      <c r="H76" s="33">
        <f>+H72-H74</f>
        <v>-35083.659999999996</v>
      </c>
      <c r="I76" s="15"/>
      <c r="J76" s="34">
        <f>IF(H$12=0,0,H76/H$12)</f>
        <v>0</v>
      </c>
      <c r="K76" s="17"/>
      <c r="L76" s="33">
        <f>D76-H76</f>
        <v>-8270.2099999999991</v>
      </c>
      <c r="M76" s="17"/>
      <c r="N76" s="34">
        <f>IF(H76=0,0,L76/H76)</f>
        <v>0.23572825640198314</v>
      </c>
      <c r="O76" s="27"/>
      <c r="P76" s="33">
        <f>+P72-P74</f>
        <v>-383717.64000000007</v>
      </c>
      <c r="Q76" s="15"/>
      <c r="R76" s="34">
        <f>IF(P$12=0,0,P76/P$12)</f>
        <v>0</v>
      </c>
      <c r="S76" s="15"/>
      <c r="T76" s="33">
        <f>+T72-T74</f>
        <v>-222503.52000000005</v>
      </c>
      <c r="U76" s="15"/>
      <c r="V76" s="34">
        <f>IF(T$12=0,0,T76/T$12)</f>
        <v>0</v>
      </c>
      <c r="W76" s="17"/>
      <c r="X76" s="33">
        <f>P76-T76</f>
        <v>-161214.12000000002</v>
      </c>
      <c r="Y76" s="17"/>
      <c r="Z76" s="34">
        <f>IF(T76=0,0,X76/T76)</f>
        <v>0.72454638021007478</v>
      </c>
    </row>
    <row r="77" spans="1:26" ht="15" customHeight="1" x14ac:dyDescent="0.3">
      <c r="A77" s="10"/>
      <c r="B77" s="10"/>
      <c r="C77" s="10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ht="15" customHeight="1" x14ac:dyDescent="0.3">
      <c r="A78" s="10"/>
      <c r="B78" s="10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11"/>
      <c r="B79" s="28" t="s">
        <v>296</v>
      </c>
      <c r="C79" s="28"/>
      <c r="D79" s="35">
        <f>SUM(D76:D78)</f>
        <v>-43353.869999999995</v>
      </c>
      <c r="E79" s="15"/>
      <c r="F79" s="29">
        <f>IF(D$12=0,0,D79/D$12)</f>
        <v>0</v>
      </c>
      <c r="G79" s="15"/>
      <c r="H79" s="35">
        <f>SUM(H76:H78)</f>
        <v>-35083.659999999996</v>
      </c>
      <c r="I79" s="15"/>
      <c r="J79" s="29">
        <f>IF(H$12=0,0,H79/H$12)</f>
        <v>0</v>
      </c>
      <c r="K79" s="17"/>
      <c r="L79" s="35">
        <f>+D79-H79</f>
        <v>-8270.2099999999991</v>
      </c>
      <c r="M79" s="17"/>
      <c r="N79" s="29">
        <f>IF(H79=0,0,L79/H79)</f>
        <v>0.23572825640198314</v>
      </c>
      <c r="O79" s="27"/>
      <c r="P79" s="35">
        <f>SUM(P76:P78)</f>
        <v>-383717.64000000007</v>
      </c>
      <c r="Q79" s="15"/>
      <c r="R79" s="29">
        <f>IF(P$12=0,0,P79/P$12)</f>
        <v>0</v>
      </c>
      <c r="S79" s="15"/>
      <c r="T79" s="35">
        <f>SUM(T76:T78)</f>
        <v>-222503.52000000005</v>
      </c>
      <c r="U79" s="15"/>
      <c r="V79" s="29">
        <f>IF(T$12=0,0,T79/T$12)</f>
        <v>0</v>
      </c>
      <c r="W79" s="17"/>
      <c r="X79" s="35">
        <f>+P79-T79</f>
        <v>-161214.12000000002</v>
      </c>
      <c r="Y79" s="17"/>
      <c r="Z79" s="29">
        <f>IF(T79=0,0,X79/T79)</f>
        <v>0.72454638021007478</v>
      </c>
    </row>
    <row r="80" spans="1:26" ht="15" customHeight="1" x14ac:dyDescent="0.3">
      <c r="A80" s="10"/>
      <c r="C80" s="10"/>
      <c r="D80" s="18"/>
      <c r="E80" s="18"/>
      <c r="G80" s="18"/>
      <c r="H80" s="18"/>
      <c r="I80" s="18"/>
      <c r="J80" s="41"/>
      <c r="K80" s="18"/>
      <c r="L80" s="18"/>
      <c r="M80" s="18"/>
      <c r="P80" s="18"/>
      <c r="Q80" s="18"/>
      <c r="R80" s="41"/>
      <c r="S80" s="18"/>
      <c r="T80" s="18"/>
      <c r="U80" s="18"/>
      <c r="V80" s="41"/>
      <c r="W80" s="18"/>
      <c r="X80" s="18"/>
    </row>
    <row r="81" spans="1:24" ht="15" customHeight="1" x14ac:dyDescent="0.3">
      <c r="A81" s="10"/>
      <c r="B81" s="50">
        <v>44634.887810300927</v>
      </c>
      <c r="D81" s="18"/>
      <c r="E81" s="18"/>
      <c r="G81" s="18"/>
      <c r="H81" s="18"/>
      <c r="I81" s="18"/>
      <c r="J81" s="41"/>
      <c r="K81" s="18"/>
      <c r="L81" s="18"/>
      <c r="M81" s="18"/>
      <c r="P81" s="18"/>
      <c r="Q81" s="18"/>
      <c r="R81" s="41"/>
      <c r="S81" s="18"/>
      <c r="T81" s="18"/>
      <c r="U81" s="18"/>
      <c r="V81" s="41"/>
      <c r="W81" s="18"/>
      <c r="X81" s="18"/>
    </row>
    <row r="82" spans="1:24" ht="15" customHeight="1" x14ac:dyDescent="0.3">
      <c r="A82" s="10"/>
      <c r="B82" s="58" t="s">
        <v>297</v>
      </c>
      <c r="D82" s="18"/>
      <c r="E82" s="18"/>
      <c r="G82" s="18"/>
      <c r="H82" s="18"/>
      <c r="I82" s="18"/>
      <c r="J82" s="41"/>
      <c r="K82" s="18"/>
      <c r="L82" s="18"/>
      <c r="M82" s="18"/>
      <c r="P82" s="18"/>
      <c r="Q82" s="18"/>
      <c r="R82" s="41"/>
      <c r="S82" s="18"/>
      <c r="T82" s="18"/>
      <c r="U82" s="18"/>
      <c r="V82" s="41"/>
      <c r="W82" s="18"/>
      <c r="X82" s="18"/>
    </row>
    <row r="83" spans="1:24" ht="15" customHeight="1" x14ac:dyDescent="0.3">
      <c r="A83" s="10"/>
      <c r="B83" s="56"/>
      <c r="D83" s="18"/>
      <c r="E83" s="18"/>
      <c r="G83" s="18"/>
      <c r="H83" s="18"/>
      <c r="I83" s="18"/>
      <c r="J83" s="41"/>
      <c r="K83" s="18"/>
      <c r="L83" s="18"/>
      <c r="M83" s="18"/>
      <c r="P83" s="18"/>
      <c r="Q83" s="18"/>
      <c r="R83" s="41"/>
      <c r="S83" s="18"/>
      <c r="T83" s="18"/>
      <c r="U83" s="18"/>
      <c r="V83" s="41"/>
      <c r="W83" s="18"/>
      <c r="X83" s="18"/>
    </row>
    <row r="84" spans="1:24" ht="15" customHeight="1" x14ac:dyDescent="0.3">
      <c r="D84" s="18"/>
      <c r="E84" s="18"/>
      <c r="G84" s="18"/>
      <c r="H84" s="18"/>
      <c r="I84" s="18"/>
      <c r="J84" s="41"/>
      <c r="K84" s="18"/>
      <c r="L84" s="18"/>
      <c r="M84" s="18"/>
      <c r="P84" s="18"/>
      <c r="Q84" s="18"/>
      <c r="R84" s="41"/>
      <c r="S84" s="18"/>
      <c r="T84" s="18"/>
      <c r="U84" s="18"/>
      <c r="V84" s="41"/>
      <c r="W84" s="18"/>
      <c r="X84" s="18"/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10B8-278B-0081-B56E-A7458255B7EA}">
  <sheetPr>
    <tabColor rgb="FF92D050"/>
    <outlinePr summaryBelow="0" summaryRight="0"/>
  </sheetPr>
  <dimension ref="A2:Z4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","412"," - ","Chartroom")</f>
        <v>Department 412 - Chartroom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577.36</v>
      </c>
      <c r="E18" s="21"/>
      <c r="F18" s="30">
        <f t="shared" ref="F18:F29" si="0">IF(D$12=0,0,D18/D$12)</f>
        <v>0</v>
      </c>
      <c r="G18" s="21"/>
      <c r="H18" s="21" cm="1">
        <f t="array" ref="H18">SUM(OSRRefH22x_0)</f>
        <v>613.36</v>
      </c>
      <c r="I18" s="21"/>
      <c r="J18" s="30">
        <f t="shared" ref="J18:J29" si="1">IF(H$12=0,0,H18/H$12)</f>
        <v>0</v>
      </c>
      <c r="K18" s="5"/>
      <c r="L18" s="21">
        <f t="shared" ref="L18:L29" si="2">+D18-H18</f>
        <v>-36</v>
      </c>
      <c r="M18" s="5"/>
      <c r="N18" s="30">
        <f t="shared" ref="N18:N29" si="3">IF(H18=0,0,L18/H18)</f>
        <v>-5.8693100299986957E-2</v>
      </c>
      <c r="O18" s="11"/>
      <c r="P18" s="21" cm="1">
        <f t="array" ref="P18">SUM(OSRRefP22x_0)</f>
        <v>4878.18</v>
      </c>
      <c r="Q18" s="21"/>
      <c r="R18" s="30">
        <f t="shared" ref="R18:R29" si="4">IF(P$12=0,0,P18/P$12)</f>
        <v>0</v>
      </c>
      <c r="S18" s="21"/>
      <c r="T18" s="21" cm="1">
        <f t="array" ref="T18">SUM(OSRRefT22x_0)</f>
        <v>7276.2499999999991</v>
      </c>
      <c r="U18" s="21"/>
      <c r="V18" s="30">
        <f t="shared" ref="V18:V29" si="5">IF(T$12=0,0,T18/T$12)</f>
        <v>0</v>
      </c>
      <c r="W18" s="5"/>
      <c r="X18" s="21">
        <f t="shared" ref="X18:X29" si="6">+P18-T18</f>
        <v>-2398.0699999999988</v>
      </c>
      <c r="Y18" s="5"/>
      <c r="Z18" s="30">
        <f t="shared" ref="Z18:Z29" si="7">IF(T18=0,0,X18/T18)</f>
        <v>-0.32957498711561573</v>
      </c>
    </row>
    <row r="19" spans="1:26" s="68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577.36</v>
      </c>
      <c r="E19" s="2"/>
      <c r="F19" s="6">
        <f t="shared" si="0"/>
        <v>0</v>
      </c>
      <c r="G19" s="2"/>
      <c r="H19" s="2">
        <f>SUM(OSRRefH22_0x_0)</f>
        <v>577.36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4618.88</v>
      </c>
      <c r="Q19" s="2"/>
      <c r="R19" s="6">
        <f t="shared" si="4"/>
        <v>0</v>
      </c>
      <c r="S19" s="2"/>
      <c r="T19" s="2">
        <f>SUM(OSRRefT22_0x_0)</f>
        <v>4957.87</v>
      </c>
      <c r="U19" s="2"/>
      <c r="V19" s="6">
        <f t="shared" si="5"/>
        <v>0</v>
      </c>
      <c r="W19" s="2"/>
      <c r="X19" s="2">
        <f t="shared" si="6"/>
        <v>-338.98999999999978</v>
      </c>
      <c r="Y19" s="2"/>
      <c r="Z19" s="6">
        <f t="shared" si="7"/>
        <v>-6.8374120337967678E-2</v>
      </c>
    </row>
    <row r="20" spans="1:26" s="69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577.36</v>
      </c>
      <c r="E20" s="3"/>
      <c r="F20" s="7">
        <f t="shared" si="0"/>
        <v>0</v>
      </c>
      <c r="G20" s="3"/>
      <c r="H20" s="8">
        <v>577.36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4618.88</v>
      </c>
      <c r="Q20" s="3"/>
      <c r="R20" s="7">
        <f t="shared" si="4"/>
        <v>0</v>
      </c>
      <c r="S20" s="3"/>
      <c r="T20" s="8">
        <v>4957.87</v>
      </c>
      <c r="U20" s="3"/>
      <c r="V20" s="7">
        <f t="shared" si="5"/>
        <v>0</v>
      </c>
      <c r="W20" s="3"/>
      <c r="X20" s="8">
        <f t="shared" si="6"/>
        <v>-338.98999999999978</v>
      </c>
      <c r="Y20" s="3"/>
      <c r="Z20" s="7">
        <f t="shared" si="7"/>
        <v>-6.8374120337967678E-2</v>
      </c>
    </row>
    <row r="21" spans="1:26" s="68" customFormat="1" ht="15" customHeight="1" outlineLevel="1" collapsed="1" x14ac:dyDescent="0.3">
      <c r="A21" s="25"/>
      <c r="B21" s="14" t="str">
        <f>CONCATENATE("     ","Equipment Rental                                  ")</f>
        <v xml:space="preserve">     Equipment Rental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16.239999999999998</v>
      </c>
      <c r="U21" s="2"/>
      <c r="V21" s="6">
        <f t="shared" si="5"/>
        <v>0</v>
      </c>
      <c r="W21" s="2"/>
      <c r="X21" s="2">
        <f t="shared" si="6"/>
        <v>-16.239999999999998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","6351"," - ","EQUIPMENT RENTAL")</f>
        <v xml:space="preserve">          6351 - EQUIPMENT RENTAL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16.239999999999998</v>
      </c>
      <c r="U22" s="3"/>
      <c r="V22" s="7">
        <f t="shared" si="5"/>
        <v>0</v>
      </c>
      <c r="W22" s="3"/>
      <c r="X22" s="8">
        <f t="shared" si="6"/>
        <v>-16.239999999999998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5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123.7</v>
      </c>
      <c r="Q23" s="2"/>
      <c r="R23" s="6">
        <f t="shared" si="4"/>
        <v>0</v>
      </c>
      <c r="S23" s="2"/>
      <c r="T23" s="2">
        <f>SUM(OSRRefT22_2x_0)</f>
        <v>1616.5300000000002</v>
      </c>
      <c r="U23" s="2"/>
      <c r="V23" s="6">
        <f t="shared" si="5"/>
        <v>0</v>
      </c>
      <c r="W23" s="2"/>
      <c r="X23" s="2">
        <f t="shared" si="6"/>
        <v>-1492.8300000000002</v>
      </c>
      <c r="Y23" s="2"/>
      <c r="Z23" s="6">
        <f t="shared" si="7"/>
        <v>-0.92347806721805348</v>
      </c>
    </row>
    <row r="24" spans="1:26" s="69" customFormat="1" ht="15" hidden="1" customHeight="1" outlineLevel="2" x14ac:dyDescent="0.3">
      <c r="A24" s="26"/>
      <c r="B24" s="12" t="str">
        <f>CONCATENATE("          ","6373"," - ","MAINTENANCE CONTRACTS")</f>
        <v xml:space="preserve">          6373 - MAINTENANCE CONTRACTS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>
        <v>123.7</v>
      </c>
      <c r="Q24" s="3"/>
      <c r="R24" s="7">
        <f t="shared" si="4"/>
        <v>0</v>
      </c>
      <c r="S24" s="3"/>
      <c r="T24" s="8">
        <v>278.39999999999998</v>
      </c>
      <c r="U24" s="3"/>
      <c r="V24" s="7">
        <f t="shared" si="5"/>
        <v>0</v>
      </c>
      <c r="W24" s="3"/>
      <c r="X24" s="8">
        <f t="shared" si="6"/>
        <v>-154.69999999999999</v>
      </c>
      <c r="Y24" s="3"/>
      <c r="Z24" s="7">
        <f t="shared" si="7"/>
        <v>-0.55567528735632188</v>
      </c>
    </row>
    <row r="25" spans="1:26" s="69" customFormat="1" ht="15" hidden="1" customHeight="1" outlineLevel="2" x14ac:dyDescent="0.3">
      <c r="A25" s="26"/>
      <c r="B25" s="12" t="str">
        <f>CONCATENATE("          ","6375"," - ","OUTSIDE REPAIRS &amp; MAINTENANCE")</f>
        <v xml:space="preserve">          6375 - OUTSIDE REPAIRS &amp; MAINTENANCE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1338.13</v>
      </c>
      <c r="U25" s="3"/>
      <c r="V25" s="7">
        <f t="shared" si="5"/>
        <v>0</v>
      </c>
      <c r="W25" s="3"/>
      <c r="X25" s="8">
        <f t="shared" si="6"/>
        <v>-1338.13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5"/>
      <c r="B26" s="14" t="str">
        <f>CONCATENATE("     ","Services                                          ")</f>
        <v xml:space="preserve">     Services                                          </v>
      </c>
      <c r="C26" s="14"/>
      <c r="D26" s="2">
        <f>SUM(OSRRefD22_3x_0)</f>
        <v>0</v>
      </c>
      <c r="E26" s="2"/>
      <c r="F26" s="6">
        <f t="shared" si="0"/>
        <v>0</v>
      </c>
      <c r="G26" s="2"/>
      <c r="H26" s="2">
        <f>SUM(OSRRefH22_3x_0)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SUM(OSRRefP22_3x_0)</f>
        <v>0</v>
      </c>
      <c r="Q26" s="2"/>
      <c r="R26" s="6">
        <f t="shared" si="4"/>
        <v>0</v>
      </c>
      <c r="S26" s="2"/>
      <c r="T26" s="2">
        <f>SUM(OSRRefT22_3x_0)</f>
        <v>320.58</v>
      </c>
      <c r="U26" s="2"/>
      <c r="V26" s="6">
        <f t="shared" si="5"/>
        <v>0</v>
      </c>
      <c r="W26" s="2"/>
      <c r="X26" s="2">
        <f t="shared" si="6"/>
        <v>-320.58</v>
      </c>
      <c r="Y26" s="2"/>
      <c r="Z26" s="6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","6286"," - ","LAUNDRY EXPENSE")</f>
        <v xml:space="preserve">          6286 - LAUNDRY EXPENSE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320.58</v>
      </c>
      <c r="U27" s="3"/>
      <c r="V27" s="7">
        <f t="shared" si="5"/>
        <v>0</v>
      </c>
      <c r="W27" s="3"/>
      <c r="X27" s="8">
        <f t="shared" si="6"/>
        <v>-320.58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5"/>
      <c r="B28" s="14" t="str">
        <f>CONCATENATE("     ","Telephone/Data Lines                              ")</f>
        <v xml:space="preserve">     Telephone/Data Lines                              </v>
      </c>
      <c r="C28" s="14"/>
      <c r="D28" s="2">
        <f>SUM(OSRRefD22_4x_0)</f>
        <v>0</v>
      </c>
      <c r="E28" s="2"/>
      <c r="F28" s="6">
        <f t="shared" si="0"/>
        <v>0</v>
      </c>
      <c r="G28" s="2"/>
      <c r="H28" s="2">
        <f>SUM(OSRRefH22_4x_0)</f>
        <v>36</v>
      </c>
      <c r="I28" s="2"/>
      <c r="J28" s="6">
        <f t="shared" si="1"/>
        <v>0</v>
      </c>
      <c r="K28" s="2"/>
      <c r="L28" s="2">
        <f t="shared" si="2"/>
        <v>-36</v>
      </c>
      <c r="M28" s="2"/>
      <c r="N28" s="6">
        <f t="shared" si="3"/>
        <v>-1</v>
      </c>
      <c r="O28" s="14"/>
      <c r="P28" s="2">
        <f>SUM(OSRRefP22_4x_0)</f>
        <v>135.6</v>
      </c>
      <c r="Q28" s="2"/>
      <c r="R28" s="6">
        <f t="shared" si="4"/>
        <v>0</v>
      </c>
      <c r="S28" s="2"/>
      <c r="T28" s="2">
        <f>SUM(OSRRefT22_4x_0)</f>
        <v>365.03</v>
      </c>
      <c r="U28" s="2"/>
      <c r="V28" s="6">
        <f t="shared" si="5"/>
        <v>0</v>
      </c>
      <c r="W28" s="2"/>
      <c r="X28" s="2">
        <f t="shared" si="6"/>
        <v>-229.42999999999998</v>
      </c>
      <c r="Y28" s="2"/>
      <c r="Z28" s="6">
        <f t="shared" si="7"/>
        <v>-0.62852368298496009</v>
      </c>
    </row>
    <row r="29" spans="1:26" s="69" customFormat="1" ht="15" hidden="1" customHeight="1" outlineLevel="2" x14ac:dyDescent="0.3">
      <c r="A29" s="26"/>
      <c r="B29" s="12" t="str">
        <f>CONCATENATE("          ","6309"," - ","TELEPHONE")</f>
        <v xml:space="preserve">          6309 - TELEPHONE</v>
      </c>
      <c r="C29" s="12"/>
      <c r="D29" s="8"/>
      <c r="E29" s="3"/>
      <c r="F29" s="7">
        <f t="shared" si="0"/>
        <v>0</v>
      </c>
      <c r="G29" s="3"/>
      <c r="H29" s="8">
        <v>36</v>
      </c>
      <c r="I29" s="3"/>
      <c r="J29" s="7">
        <f t="shared" si="1"/>
        <v>0</v>
      </c>
      <c r="K29" s="3"/>
      <c r="L29" s="8">
        <f t="shared" si="2"/>
        <v>-36</v>
      </c>
      <c r="M29" s="3"/>
      <c r="N29" s="7">
        <f t="shared" si="3"/>
        <v>-1</v>
      </c>
      <c r="O29" s="12"/>
      <c r="P29" s="8">
        <v>135.6</v>
      </c>
      <c r="Q29" s="3"/>
      <c r="R29" s="7">
        <f t="shared" si="4"/>
        <v>0</v>
      </c>
      <c r="S29" s="3"/>
      <c r="T29" s="8">
        <v>365.03</v>
      </c>
      <c r="U29" s="3"/>
      <c r="V29" s="7">
        <f t="shared" si="5"/>
        <v>0</v>
      </c>
      <c r="W29" s="3"/>
      <c r="X29" s="8">
        <f t="shared" si="6"/>
        <v>-229.42999999999998</v>
      </c>
      <c r="Y29" s="3"/>
      <c r="Z29" s="7">
        <f t="shared" si="7"/>
        <v>-0.62852368298496009</v>
      </c>
    </row>
    <row r="30" spans="1:26" s="64" customFormat="1" ht="15" customHeight="1" x14ac:dyDescent="0.3">
      <c r="A30" s="36"/>
      <c r="B30" s="36"/>
      <c r="C30" s="36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3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62" customFormat="1" ht="15" customHeight="1" x14ac:dyDescent="0.3">
      <c r="A31" s="11"/>
      <c r="B31" s="27" t="s">
        <v>290</v>
      </c>
      <c r="C31" s="11"/>
      <c r="D31" s="5">
        <f>SUM(0)</f>
        <v>0</v>
      </c>
      <c r="E31" s="5"/>
      <c r="F31" s="13">
        <f>IF(D$12=0,0,D31/D$12)</f>
        <v>0</v>
      </c>
      <c r="G31" s="5"/>
      <c r="H31" s="5">
        <f>SUM(0)</f>
        <v>0</v>
      </c>
      <c r="I31" s="5"/>
      <c r="J31" s="13">
        <f>IF(H$12=0,0,H31/H$12)</f>
        <v>0</v>
      </c>
      <c r="K31" s="5"/>
      <c r="L31" s="5">
        <f>+D31-H31</f>
        <v>0</v>
      </c>
      <c r="M31" s="5"/>
      <c r="N31" s="13">
        <f>IF(H31=0,0,L31/H31)</f>
        <v>0</v>
      </c>
      <c r="O31" s="11"/>
      <c r="P31" s="5">
        <f>SUM(0)</f>
        <v>0</v>
      </c>
      <c r="Q31" s="5"/>
      <c r="R31" s="13">
        <f>IF(P$12=0,0,P31/P$12)</f>
        <v>0</v>
      </c>
      <c r="S31" s="5"/>
      <c r="T31" s="5">
        <f>SUM(0)</f>
        <v>0</v>
      </c>
      <c r="U31" s="5"/>
      <c r="V31" s="13">
        <f>IF(T$12=0,0,T31/T$12)</f>
        <v>0</v>
      </c>
      <c r="W31" s="5"/>
      <c r="X31" s="5">
        <f>+P31-T31</f>
        <v>0</v>
      </c>
      <c r="Y31" s="5"/>
      <c r="Z31" s="13">
        <f>IF(T31=0,0,X31/T31)</f>
        <v>0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8" t="s">
        <v>291</v>
      </c>
      <c r="C33" s="28"/>
      <c r="D33" s="23">
        <f>+D16-D18+D31</f>
        <v>-577.36</v>
      </c>
      <c r="E33" s="15"/>
      <c r="F33" s="22">
        <f>IF(D$12=0,0,D33/D$12)</f>
        <v>0</v>
      </c>
      <c r="G33" s="15"/>
      <c r="H33" s="23">
        <f>+H16-H18+H31</f>
        <v>-613.36</v>
      </c>
      <c r="I33" s="15"/>
      <c r="J33" s="22">
        <f>IF(H$12=0,0,H33/H$12)</f>
        <v>0</v>
      </c>
      <c r="K33" s="17"/>
      <c r="L33" s="23">
        <f>+D33-H33</f>
        <v>36</v>
      </c>
      <c r="M33" s="17"/>
      <c r="N33" s="22">
        <f>IF(H33=0,0,L33/H33)</f>
        <v>-5.8693100299986957E-2</v>
      </c>
      <c r="O33" s="27"/>
      <c r="P33" s="23">
        <f>+P16-P18+P31</f>
        <v>-4878.18</v>
      </c>
      <c r="Q33" s="15"/>
      <c r="R33" s="22">
        <f>IF(P$12=0,0,P33/P$12)</f>
        <v>0</v>
      </c>
      <c r="S33" s="15"/>
      <c r="T33" s="23">
        <f>+T16-T18+T31</f>
        <v>-7276.2499999999991</v>
      </c>
      <c r="U33" s="15"/>
      <c r="V33" s="22">
        <f>IF(T$12=0,0,T33/T$12)</f>
        <v>0</v>
      </c>
      <c r="W33" s="17"/>
      <c r="X33" s="23">
        <f>+P33-T33</f>
        <v>2398.0699999999988</v>
      </c>
      <c r="Y33" s="17"/>
      <c r="Z33" s="22">
        <f>IF(T33=0,0,X33/T33)</f>
        <v>-0.32957498711561573</v>
      </c>
    </row>
    <row r="34" spans="1:26" ht="15" customHeight="1" x14ac:dyDescent="0.3">
      <c r="A34" s="10"/>
      <c r="B34" s="11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3">
      <c r="A35" s="48"/>
      <c r="B35" s="11" t="s">
        <v>292</v>
      </c>
      <c r="C35" s="11"/>
      <c r="D35" s="5"/>
      <c r="E35" s="5"/>
      <c r="F35" s="13">
        <f>IF(D$12=0,0,D35/D$12)</f>
        <v>0</v>
      </c>
      <c r="G35" s="5"/>
      <c r="H35" s="5"/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/>
      <c r="Q35" s="5"/>
      <c r="R35" s="13">
        <f>IF(P$12=0,0,P35/P$12)</f>
        <v>0</v>
      </c>
      <c r="S35" s="5"/>
      <c r="T35" s="5"/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3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293</v>
      </c>
      <c r="C37" s="28"/>
      <c r="D37" s="33">
        <f>+D33-D35</f>
        <v>-577.36</v>
      </c>
      <c r="E37" s="15"/>
      <c r="F37" s="34">
        <f>IF(D$12=0,0,D37/D$12)</f>
        <v>0</v>
      </c>
      <c r="G37" s="15"/>
      <c r="H37" s="33">
        <f>+H33-H35</f>
        <v>-613.36</v>
      </c>
      <c r="I37" s="15"/>
      <c r="J37" s="34">
        <f>IF(H$12=0,0,H37/H$12)</f>
        <v>0</v>
      </c>
      <c r="K37" s="17"/>
      <c r="L37" s="33">
        <f>D37-H37</f>
        <v>36</v>
      </c>
      <c r="M37" s="17"/>
      <c r="N37" s="34">
        <f>IF(H37=0,0,L37/H37)</f>
        <v>-5.8693100299986957E-2</v>
      </c>
      <c r="O37" s="27"/>
      <c r="P37" s="33">
        <f>+P33-P35</f>
        <v>-4878.18</v>
      </c>
      <c r="Q37" s="15"/>
      <c r="R37" s="34">
        <f>IF(P$12=0,0,P37/P$12)</f>
        <v>0</v>
      </c>
      <c r="S37" s="15"/>
      <c r="T37" s="33">
        <f>+T33-T35</f>
        <v>-7276.2499999999991</v>
      </c>
      <c r="U37" s="15"/>
      <c r="V37" s="34">
        <f>IF(T$12=0,0,T37/T$12)</f>
        <v>0</v>
      </c>
      <c r="W37" s="17"/>
      <c r="X37" s="33">
        <f>P37-T37</f>
        <v>2398.0699999999988</v>
      </c>
      <c r="Y37" s="17"/>
      <c r="Z37" s="34">
        <f>IF(T37=0,0,X37/T37)</f>
        <v>-0.32957498711561573</v>
      </c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ht="15" customHeight="1" x14ac:dyDescent="0.3">
      <c r="A39" s="10"/>
      <c r="B39" s="10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11"/>
      <c r="B40" s="28" t="s">
        <v>296</v>
      </c>
      <c r="C40" s="28"/>
      <c r="D40" s="35">
        <f>SUM(D37:D39)</f>
        <v>-577.36</v>
      </c>
      <c r="E40" s="15"/>
      <c r="F40" s="29">
        <f>IF(D$12=0,0,D40/D$12)</f>
        <v>0</v>
      </c>
      <c r="G40" s="15"/>
      <c r="H40" s="35">
        <f>SUM(H37:H39)</f>
        <v>-613.36</v>
      </c>
      <c r="I40" s="15"/>
      <c r="J40" s="29">
        <f>IF(H$12=0,0,H40/H$12)</f>
        <v>0</v>
      </c>
      <c r="K40" s="17"/>
      <c r="L40" s="35">
        <f>+D40-H40</f>
        <v>36</v>
      </c>
      <c r="M40" s="17"/>
      <c r="N40" s="29">
        <f>IF(H40=0,0,L40/H40)</f>
        <v>-5.8693100299986957E-2</v>
      </c>
      <c r="O40" s="27"/>
      <c r="P40" s="35">
        <f>SUM(P37:P39)</f>
        <v>-4878.18</v>
      </c>
      <c r="Q40" s="15"/>
      <c r="R40" s="29">
        <f>IF(P$12=0,0,P40/P$12)</f>
        <v>0</v>
      </c>
      <c r="S40" s="15"/>
      <c r="T40" s="35">
        <f>SUM(T37:T39)</f>
        <v>-7276.2499999999991</v>
      </c>
      <c r="U40" s="15"/>
      <c r="V40" s="29">
        <f>IF(T$12=0,0,T40/T$12)</f>
        <v>0</v>
      </c>
      <c r="W40" s="17"/>
      <c r="X40" s="35">
        <f>+P40-T40</f>
        <v>2398.0699999999988</v>
      </c>
      <c r="Y40" s="17"/>
      <c r="Z40" s="29">
        <f>IF(T40=0,0,X40/T40)</f>
        <v>-0.32957498711561573</v>
      </c>
    </row>
    <row r="41" spans="1:26" ht="15" customHeight="1" x14ac:dyDescent="0.3">
      <c r="A41" s="10"/>
      <c r="C41" s="10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A42" s="10"/>
      <c r="B42" s="50">
        <v>44634.887810300927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3">
      <c r="A43" s="10"/>
      <c r="B43" s="58" t="s">
        <v>297</v>
      </c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3">
      <c r="A44" s="10"/>
      <c r="B44" s="56"/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  <row r="45" spans="1:26" ht="15" customHeight="1" x14ac:dyDescent="0.3">
      <c r="D45" s="18"/>
      <c r="E45" s="18"/>
      <c r="G45" s="18"/>
      <c r="H45" s="18"/>
      <c r="I45" s="18"/>
      <c r="J45" s="41"/>
      <c r="K45" s="18"/>
      <c r="L45" s="18"/>
      <c r="M45" s="18"/>
      <c r="P45" s="18"/>
      <c r="Q45" s="18"/>
      <c r="R45" s="41"/>
      <c r="S45" s="18"/>
      <c r="T45" s="18"/>
      <c r="U45" s="18"/>
      <c r="V45" s="41"/>
      <c r="W45" s="18"/>
      <c r="X45" s="18"/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2370B-47A5-424F-F2A5-9802901E8D95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","413"," - ","Beach Walk")</f>
        <v>Department 413 - Beach Walk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58.03</v>
      </c>
      <c r="E18" s="21"/>
      <c r="F18" s="30">
        <f t="shared" ref="F18:F34" si="0">IF(D$12=0,0,D18/D$12)</f>
        <v>0</v>
      </c>
      <c r="G18" s="21"/>
      <c r="H18" s="21" cm="1">
        <f t="array" ref="H18">SUM(OSRRefH22x_0)</f>
        <v>58.03</v>
      </c>
      <c r="I18" s="21"/>
      <c r="J18" s="30">
        <f t="shared" ref="J18:J34" si="1">IF(H$12=0,0,H18/H$12)</f>
        <v>0</v>
      </c>
      <c r="K18" s="5"/>
      <c r="L18" s="21">
        <f t="shared" ref="L18:L34" si="2">+D18-H18</f>
        <v>0</v>
      </c>
      <c r="M18" s="5"/>
      <c r="N18" s="30">
        <f t="shared" ref="N18:N34" si="3">IF(H18=0,0,L18/H18)</f>
        <v>0</v>
      </c>
      <c r="O18" s="11"/>
      <c r="P18" s="21" cm="1">
        <f t="array" ref="P18">SUM(OSRRefP22x_0)</f>
        <v>729.19</v>
      </c>
      <c r="Q18" s="21"/>
      <c r="R18" s="30">
        <f t="shared" ref="R18:R34" si="4">IF(P$12=0,0,P18/P$12)</f>
        <v>0</v>
      </c>
      <c r="S18" s="21"/>
      <c r="T18" s="21" cm="1">
        <f t="array" ref="T18">SUM(OSRRefT22x_0)</f>
        <v>4963.57</v>
      </c>
      <c r="U18" s="21"/>
      <c r="V18" s="30">
        <f t="shared" ref="V18:V34" si="5">IF(T$12=0,0,T18/T$12)</f>
        <v>0</v>
      </c>
      <c r="W18" s="5"/>
      <c r="X18" s="21">
        <f t="shared" ref="X18:X34" si="6">+P18-T18</f>
        <v>-4234.3799999999992</v>
      </c>
      <c r="Y18" s="5"/>
      <c r="Z18" s="30">
        <f t="shared" ref="Z18:Z34" si="7">IF(T18=0,0,X18/T18)</f>
        <v>-0.85309162558400498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1493.43</v>
      </c>
      <c r="U19" s="2"/>
      <c r="V19" s="6">
        <f t="shared" si="5"/>
        <v>0</v>
      </c>
      <c r="W19" s="2"/>
      <c r="X19" s="2">
        <f t="shared" si="6"/>
        <v>-1493.43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191.51</v>
      </c>
      <c r="U20" s="3"/>
      <c r="V20" s="7">
        <f t="shared" si="5"/>
        <v>0</v>
      </c>
      <c r="W20" s="3"/>
      <c r="X20" s="8">
        <f t="shared" si="6"/>
        <v>-191.51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","6113"," - ","GROUP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718.51</v>
      </c>
      <c r="U21" s="3"/>
      <c r="V21" s="7">
        <f t="shared" si="5"/>
        <v>0</v>
      </c>
      <c r="W21" s="3"/>
      <c r="X21" s="8">
        <f t="shared" si="6"/>
        <v>-718.51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","6115"," - ","P.E.R.S.")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377.03</v>
      </c>
      <c r="U22" s="3"/>
      <c r="V22" s="7">
        <f t="shared" si="5"/>
        <v>0</v>
      </c>
      <c r="W22" s="3"/>
      <c r="X22" s="8">
        <f t="shared" si="6"/>
        <v>-377.03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","6118"," - ","VACATION")</f>
        <v xml:space="preserve">          6118 - VACATION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93.89</v>
      </c>
      <c r="U23" s="3"/>
      <c r="V23" s="7">
        <f t="shared" si="5"/>
        <v>0</v>
      </c>
      <c r="W23" s="3"/>
      <c r="X23" s="8">
        <f t="shared" si="6"/>
        <v>-93.89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","6119"," - ","SICK LEAVE")</f>
        <v xml:space="preserve">          6119 - SICK LEAVE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112.49</v>
      </c>
      <c r="U24" s="3"/>
      <c r="V24" s="7">
        <f t="shared" si="5"/>
        <v>0</v>
      </c>
      <c r="W24" s="3"/>
      <c r="X24" s="8">
        <f t="shared" si="6"/>
        <v>-112.49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0</v>
      </c>
      <c r="E25" s="2"/>
      <c r="F25" s="6">
        <f t="shared" si="0"/>
        <v>0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SUM(OSRRefP22_1x_0)</f>
        <v>0</v>
      </c>
      <c r="Q25" s="2"/>
      <c r="R25" s="6">
        <f t="shared" si="4"/>
        <v>0</v>
      </c>
      <c r="S25" s="2"/>
      <c r="T25" s="2">
        <f>SUM(OSRRefT22_1x_0)</f>
        <v>2259.48</v>
      </c>
      <c r="U25" s="2"/>
      <c r="V25" s="6">
        <f t="shared" si="5"/>
        <v>0</v>
      </c>
      <c r="W25" s="2"/>
      <c r="X25" s="2">
        <f t="shared" si="6"/>
        <v>-2259.48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","6002"," - ","STAFF SALARIES")</f>
        <v xml:space="preserve">          6002 - STAFF SALARIES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2259.48</v>
      </c>
      <c r="U26" s="3"/>
      <c r="V26" s="7">
        <f t="shared" si="5"/>
        <v>0</v>
      </c>
      <c r="W26" s="3"/>
      <c r="X26" s="8">
        <f t="shared" si="6"/>
        <v>-2259.48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","Depreciation                                      ")</f>
        <v xml:space="preserve">     Depreciation                                      </v>
      </c>
      <c r="C27" s="14"/>
      <c r="D27" s="2">
        <f>SUM(OSRRefD22_2x_0)</f>
        <v>58.03</v>
      </c>
      <c r="E27" s="2"/>
      <c r="F27" s="6">
        <f t="shared" si="0"/>
        <v>0</v>
      </c>
      <c r="G27" s="2"/>
      <c r="H27" s="2">
        <f>SUM(OSRRefH22_2x_0)</f>
        <v>58.03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464.24</v>
      </c>
      <c r="Q27" s="2"/>
      <c r="R27" s="6">
        <f t="shared" si="4"/>
        <v>0</v>
      </c>
      <c r="S27" s="2"/>
      <c r="T27" s="2">
        <f>SUM(OSRRefT22_2x_0)</f>
        <v>464.24</v>
      </c>
      <c r="U27" s="2"/>
      <c r="V27" s="6">
        <f t="shared" si="5"/>
        <v>0</v>
      </c>
      <c r="W27" s="2"/>
      <c r="X27" s="2">
        <f t="shared" si="6"/>
        <v>0</v>
      </c>
      <c r="Y27" s="2"/>
      <c r="Z27" s="6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","6322"," - ","EQUIPMENT DEPRECIATION EXPENSE")</f>
        <v xml:space="preserve">          6322 - EQUIPMENT DEPRECIATION EXPENSE</v>
      </c>
      <c r="C28" s="12"/>
      <c r="D28" s="8">
        <v>58.03</v>
      </c>
      <c r="E28" s="3"/>
      <c r="F28" s="7">
        <f t="shared" si="0"/>
        <v>0</v>
      </c>
      <c r="G28" s="3"/>
      <c r="H28" s="8">
        <v>58.03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464.24</v>
      </c>
      <c r="Q28" s="3"/>
      <c r="R28" s="7">
        <f t="shared" si="4"/>
        <v>0</v>
      </c>
      <c r="S28" s="3"/>
      <c r="T28" s="8">
        <v>464.24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","Repair and Maintenance                            ")</f>
        <v xml:space="preserve">     Repair and Maintenance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264.95</v>
      </c>
      <c r="Q29" s="2"/>
      <c r="R29" s="6">
        <f t="shared" si="4"/>
        <v>0</v>
      </c>
      <c r="S29" s="2"/>
      <c r="T29" s="2">
        <f>SUM(OSRRefT22_3x_0)</f>
        <v>410.1</v>
      </c>
      <c r="U29" s="2"/>
      <c r="V29" s="6">
        <f t="shared" si="5"/>
        <v>0</v>
      </c>
      <c r="W29" s="2"/>
      <c r="X29" s="2">
        <f t="shared" si="6"/>
        <v>-145.15000000000003</v>
      </c>
      <c r="Y29" s="2"/>
      <c r="Z29" s="6">
        <f t="shared" si="7"/>
        <v>-0.35393806388685695</v>
      </c>
    </row>
    <row r="30" spans="1:26" s="69" customFormat="1" ht="15" hidden="1" customHeight="1" outlineLevel="2" x14ac:dyDescent="0.3">
      <c r="A30" s="26"/>
      <c r="B30" s="12" t="str">
        <f>CONCATENATE("          ","6373"," - ","MAINTENANCE CONTRACTS")</f>
        <v xml:space="preserve">          6373 - MAINTENANCE CONTRACTS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>
        <v>264.95</v>
      </c>
      <c r="Q30" s="3"/>
      <c r="R30" s="7">
        <f t="shared" si="4"/>
        <v>0</v>
      </c>
      <c r="S30" s="3"/>
      <c r="T30" s="8">
        <v>410.1</v>
      </c>
      <c r="U30" s="3"/>
      <c r="V30" s="7">
        <f t="shared" si="5"/>
        <v>0</v>
      </c>
      <c r="W30" s="3"/>
      <c r="X30" s="8">
        <f t="shared" si="6"/>
        <v>-145.15000000000003</v>
      </c>
      <c r="Y30" s="3"/>
      <c r="Z30" s="7">
        <f t="shared" si="7"/>
        <v>-0.35393806388685695</v>
      </c>
    </row>
    <row r="31" spans="1:26" s="68" customFormat="1" ht="15" customHeight="1" outlineLevel="1" collapsed="1" x14ac:dyDescent="0.3">
      <c r="A31" s="25"/>
      <c r="B31" s="14" t="str">
        <f>CONCATENATE("     ","Services                                          ")</f>
        <v xml:space="preserve">     Services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0</v>
      </c>
      <c r="Q31" s="2"/>
      <c r="R31" s="6">
        <f t="shared" si="4"/>
        <v>0</v>
      </c>
      <c r="S31" s="2"/>
      <c r="T31" s="2">
        <f>SUM(OSRRefT22_4x_0)</f>
        <v>286.62</v>
      </c>
      <c r="U31" s="2"/>
      <c r="V31" s="6">
        <f t="shared" si="5"/>
        <v>0</v>
      </c>
      <c r="W31" s="2"/>
      <c r="X31" s="2">
        <f t="shared" si="6"/>
        <v>-286.62</v>
      </c>
      <c r="Y31" s="2"/>
      <c r="Z31" s="6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","6282"," - ","JANITORIAL/EXTERMINATOR EXPENS")</f>
        <v xml:space="preserve">          6282 - JANITORIAL/EXTERMINATOR EXPENS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286.62</v>
      </c>
      <c r="U32" s="3"/>
      <c r="V32" s="7">
        <f t="shared" si="5"/>
        <v>0</v>
      </c>
      <c r="W32" s="3"/>
      <c r="X32" s="8">
        <f t="shared" si="6"/>
        <v>-286.62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5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49.7</v>
      </c>
      <c r="U33" s="2"/>
      <c r="V33" s="6">
        <f t="shared" si="5"/>
        <v>0</v>
      </c>
      <c r="W33" s="2"/>
      <c r="X33" s="2">
        <f t="shared" si="6"/>
        <v>-49.7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","6309"," - ","TELEPHONE")</f>
        <v xml:space="preserve">          6309 - TELEPHONE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49.7</v>
      </c>
      <c r="U34" s="3"/>
      <c r="V34" s="7">
        <f t="shared" si="5"/>
        <v>0</v>
      </c>
      <c r="W34" s="3"/>
      <c r="X34" s="8">
        <f t="shared" si="6"/>
        <v>-49.7</v>
      </c>
      <c r="Y34" s="3"/>
      <c r="Z34" s="7">
        <f t="shared" si="7"/>
        <v>-1</v>
      </c>
    </row>
    <row r="35" spans="1:26" s="64" customFormat="1" ht="15" customHeight="1" x14ac:dyDescent="0.3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3">
      <c r="A36" s="11"/>
      <c r="B36" s="27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3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3">
      <c r="A38" s="11"/>
      <c r="B38" s="28" t="s">
        <v>291</v>
      </c>
      <c r="C38" s="28"/>
      <c r="D38" s="23">
        <f>+D16-D18+D36</f>
        <v>-58.03</v>
      </c>
      <c r="E38" s="15"/>
      <c r="F38" s="22">
        <f>IF(D$12=0,0,D38/D$12)</f>
        <v>0</v>
      </c>
      <c r="G38" s="15"/>
      <c r="H38" s="23">
        <f>+H16-H18+H36</f>
        <v>-58.03</v>
      </c>
      <c r="I38" s="15"/>
      <c r="J38" s="22">
        <f>IF(H$12=0,0,H38/H$12)</f>
        <v>0</v>
      </c>
      <c r="K38" s="17"/>
      <c r="L38" s="23">
        <f>+D38-H38</f>
        <v>0</v>
      </c>
      <c r="M38" s="17"/>
      <c r="N38" s="22">
        <f>IF(H38=0,0,L38/H38)</f>
        <v>0</v>
      </c>
      <c r="O38" s="27"/>
      <c r="P38" s="23">
        <f>+P16-P18+P36</f>
        <v>-729.19</v>
      </c>
      <c r="Q38" s="15"/>
      <c r="R38" s="22">
        <f>IF(P$12=0,0,P38/P$12)</f>
        <v>0</v>
      </c>
      <c r="S38" s="15"/>
      <c r="T38" s="23">
        <f>+T16-T18+T36</f>
        <v>-4963.57</v>
      </c>
      <c r="U38" s="15"/>
      <c r="V38" s="22">
        <f>IF(T$12=0,0,T38/T$12)</f>
        <v>0</v>
      </c>
      <c r="W38" s="17"/>
      <c r="X38" s="23">
        <f>+P38-T38</f>
        <v>4234.3799999999992</v>
      </c>
      <c r="Y38" s="17"/>
      <c r="Z38" s="22">
        <f>IF(T38=0,0,X38/T38)</f>
        <v>-0.85309162558400498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48"/>
      <c r="B40" s="11" t="s">
        <v>292</v>
      </c>
      <c r="C40" s="11"/>
      <c r="D40" s="5"/>
      <c r="E40" s="5"/>
      <c r="F40" s="13">
        <f>IF(D$12=0,0,D40/D$12)</f>
        <v>0</v>
      </c>
      <c r="G40" s="5"/>
      <c r="H40" s="5"/>
      <c r="I40" s="5"/>
      <c r="J40" s="13">
        <f>IF(H$12=0,0,H40/H$12)</f>
        <v>0</v>
      </c>
      <c r="K40" s="5"/>
      <c r="L40" s="5">
        <f>+D40-H40</f>
        <v>0</v>
      </c>
      <c r="M40" s="5"/>
      <c r="N40" s="13">
        <f>IF(H40=0,0,L40/H40)</f>
        <v>0</v>
      </c>
      <c r="O40" s="11"/>
      <c r="P40" s="5"/>
      <c r="Q40" s="5"/>
      <c r="R40" s="13">
        <f>IF(P$12=0,0,P40/P$12)</f>
        <v>0</v>
      </c>
      <c r="S40" s="5"/>
      <c r="T40" s="5"/>
      <c r="U40" s="5"/>
      <c r="V40" s="13">
        <f>IF(T$12=0,0,T40/T$12)</f>
        <v>0</v>
      </c>
      <c r="W40" s="5"/>
      <c r="X40" s="5">
        <f>+P40-T40</f>
        <v>0</v>
      </c>
      <c r="Y40" s="5"/>
      <c r="Z40" s="13">
        <f>IF(T40=0,0,X40/T40)</f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8" t="s">
        <v>293</v>
      </c>
      <c r="C42" s="28"/>
      <c r="D42" s="33">
        <f>+D38-D40</f>
        <v>-58.03</v>
      </c>
      <c r="E42" s="15"/>
      <c r="F42" s="34">
        <f>IF(D$12=0,0,D42/D$12)</f>
        <v>0</v>
      </c>
      <c r="G42" s="15"/>
      <c r="H42" s="33">
        <f>+H38-H40</f>
        <v>-58.03</v>
      </c>
      <c r="I42" s="15"/>
      <c r="J42" s="34">
        <f>IF(H$12=0,0,H42/H$12)</f>
        <v>0</v>
      </c>
      <c r="K42" s="17"/>
      <c r="L42" s="33">
        <f>D42-H42</f>
        <v>0</v>
      </c>
      <c r="M42" s="17"/>
      <c r="N42" s="34">
        <f>IF(H42=0,0,L42/H42)</f>
        <v>0</v>
      </c>
      <c r="O42" s="27"/>
      <c r="P42" s="33">
        <f>+P38-P40</f>
        <v>-729.19</v>
      </c>
      <c r="Q42" s="15"/>
      <c r="R42" s="34">
        <f>IF(P$12=0,0,P42/P$12)</f>
        <v>0</v>
      </c>
      <c r="S42" s="15"/>
      <c r="T42" s="33">
        <f>+T38-T40</f>
        <v>-4963.57</v>
      </c>
      <c r="U42" s="15"/>
      <c r="V42" s="34">
        <f>IF(T$12=0,0,T42/T$12)</f>
        <v>0</v>
      </c>
      <c r="W42" s="17"/>
      <c r="X42" s="33">
        <f>P42-T42</f>
        <v>4234.3799999999992</v>
      </c>
      <c r="Y42" s="17"/>
      <c r="Z42" s="34">
        <f>IF(T42=0,0,X42/T42)</f>
        <v>-0.85309162558400498</v>
      </c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3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3">
      <c r="A45" s="11"/>
      <c r="B45" s="28" t="s">
        <v>296</v>
      </c>
      <c r="C45" s="28"/>
      <c r="D45" s="35">
        <f>SUM(D42:D44)</f>
        <v>-58.03</v>
      </c>
      <c r="E45" s="15"/>
      <c r="F45" s="29">
        <f>IF(D$12=0,0,D45/D$12)</f>
        <v>0</v>
      </c>
      <c r="G45" s="15"/>
      <c r="H45" s="35">
        <f>SUM(H42:H44)</f>
        <v>-58.03</v>
      </c>
      <c r="I45" s="15"/>
      <c r="J45" s="29">
        <f>IF(H$12=0,0,H45/H$12)</f>
        <v>0</v>
      </c>
      <c r="K45" s="17"/>
      <c r="L45" s="35">
        <f>+D45-H45</f>
        <v>0</v>
      </c>
      <c r="M45" s="17"/>
      <c r="N45" s="29">
        <f>IF(H45=0,0,L45/H45)</f>
        <v>0</v>
      </c>
      <c r="O45" s="27"/>
      <c r="P45" s="35">
        <f>SUM(P42:P44)</f>
        <v>-729.19</v>
      </c>
      <c r="Q45" s="15"/>
      <c r="R45" s="29">
        <f>IF(P$12=0,0,P45/P$12)</f>
        <v>0</v>
      </c>
      <c r="S45" s="15"/>
      <c r="T45" s="35">
        <f>SUM(T42:T44)</f>
        <v>-4963.57</v>
      </c>
      <c r="U45" s="15"/>
      <c r="V45" s="29">
        <f>IF(T$12=0,0,T45/T$12)</f>
        <v>0</v>
      </c>
      <c r="W45" s="17"/>
      <c r="X45" s="35">
        <f>+P45-T45</f>
        <v>4234.3799999999992</v>
      </c>
      <c r="Y45" s="17"/>
      <c r="Z45" s="29">
        <f>IF(T45=0,0,X45/T45)</f>
        <v>-0.85309162558400498</v>
      </c>
    </row>
    <row r="46" spans="1:26" ht="15" customHeight="1" x14ac:dyDescent="0.3">
      <c r="A46" s="10"/>
      <c r="C46" s="10"/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3">
      <c r="A47" s="10"/>
      <c r="B47" s="50">
        <v>44634.887810300927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3">
      <c r="A48" s="10"/>
      <c r="B48" s="58" t="s">
        <v>297</v>
      </c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1:24" ht="15" customHeight="1" x14ac:dyDescent="0.3">
      <c r="A49" s="10"/>
      <c r="B49" s="56"/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  <row r="50" spans="1:24" ht="15" customHeight="1" x14ac:dyDescent="0.3">
      <c r="D50" s="18"/>
      <c r="E50" s="18"/>
      <c r="G50" s="18"/>
      <c r="H50" s="18"/>
      <c r="I50" s="18"/>
      <c r="J50" s="41"/>
      <c r="K50" s="18"/>
      <c r="L50" s="18"/>
      <c r="M50" s="18"/>
      <c r="P50" s="18"/>
      <c r="Q50" s="18"/>
      <c r="R50" s="41"/>
      <c r="S50" s="18"/>
      <c r="T50" s="18"/>
      <c r="U50" s="18"/>
      <c r="V50" s="41"/>
      <c r="W50" s="18"/>
      <c r="X50" s="1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0CA06-249E-B865-E50B-D4FF192B5D9A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298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37F8B-5B97-E4F2-6603-ACAD5CFA133C}">
  <sheetPr>
    <tabColor rgb="FF92D050"/>
    <outlinePr summaryBelow="0" summaryRight="0"/>
  </sheetPr>
  <dimension ref="A2:Z4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","414"," - ","Starbucks UDP")</f>
        <v>Department 414 - Starbucks UDP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974.91</v>
      </c>
      <c r="U12" s="5"/>
      <c r="V12" s="13"/>
      <c r="W12" s="5"/>
      <c r="X12" s="5">
        <f>+P12-T12</f>
        <v>-974.91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","4058"," - ","TAXABLE SALES-FOOD")</f>
        <v xml:space="preserve">          4058 -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--974.91</f>
        <v>974.91</v>
      </c>
      <c r="U13" s="3"/>
      <c r="V13" s="20"/>
      <c r="W13" s="3"/>
      <c r="X13" s="3">
        <f>+P13-T13</f>
        <v>-974.91</v>
      </c>
      <c r="Y13" s="3"/>
      <c r="Z13" s="20">
        <f>IF(T13=0,0,X13/T13)</f>
        <v>-1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>
        <f>SUM(OSRRefD16x_0)</f>
        <v>0</v>
      </c>
      <c r="E15" s="5"/>
      <c r="F15" s="13">
        <f>IF(D$12=0,0,D15/D$12)</f>
        <v>0</v>
      </c>
      <c r="G15" s="5"/>
      <c r="H15" s="5">
        <f>SUM(OSRRefH16x_0)</f>
        <v>-2369.56</v>
      </c>
      <c r="I15" s="5"/>
      <c r="J15" s="13">
        <f>IF(H$12=0,0,H15/H$12)</f>
        <v>0</v>
      </c>
      <c r="K15" s="5"/>
      <c r="L15" s="5">
        <f>+D15-H15</f>
        <v>2369.56</v>
      </c>
      <c r="M15" s="5"/>
      <c r="N15" s="13">
        <f>IF(H15=0,0,L15/H15)</f>
        <v>-1</v>
      </c>
      <c r="O15" s="11"/>
      <c r="P15" s="5">
        <f>SUM(OSRRefP16x_0)</f>
        <v>0</v>
      </c>
      <c r="Q15" s="5"/>
      <c r="R15" s="13">
        <f>IF(P$12=0,0,P15/P$12)</f>
        <v>0</v>
      </c>
      <c r="S15" s="5"/>
      <c r="T15" s="5">
        <f>SUM(OSRRefT16x_0)</f>
        <v>-2369.56</v>
      </c>
      <c r="U15" s="5"/>
      <c r="V15" s="13">
        <f>IF(T$12=0,0,T15/T$12)</f>
        <v>-2.4305423064693152</v>
      </c>
      <c r="W15" s="5"/>
      <c r="X15" s="5">
        <f>+P15-T15</f>
        <v>2369.56</v>
      </c>
      <c r="Y15" s="5"/>
      <c r="Z15" s="13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/>
      <c r="E16" s="3"/>
      <c r="F16" s="20">
        <f>IF(D$12=0,0,D16/D$12)</f>
        <v>0</v>
      </c>
      <c r="G16" s="3"/>
      <c r="H16" s="3">
        <v>-2369.56</v>
      </c>
      <c r="I16" s="3"/>
      <c r="J16" s="20">
        <f>IF(H$12=0,0,H16/H$12)</f>
        <v>0</v>
      </c>
      <c r="K16" s="3"/>
      <c r="L16" s="3">
        <f>+D16-H16</f>
        <v>2369.56</v>
      </c>
      <c r="M16" s="3"/>
      <c r="N16" s="20">
        <f>IF(H16=0,0,L16/H16)</f>
        <v>-1</v>
      </c>
      <c r="O16" s="12"/>
      <c r="P16" s="3"/>
      <c r="Q16" s="3"/>
      <c r="R16" s="20">
        <f>IF(P$12=0,0,P16/P$12)</f>
        <v>0</v>
      </c>
      <c r="S16" s="3"/>
      <c r="T16" s="3">
        <v>-2369.56</v>
      </c>
      <c r="U16" s="3"/>
      <c r="V16" s="20">
        <f>IF(T$12=0,0,T16/T$12)</f>
        <v>-2.4305423064693152</v>
      </c>
      <c r="W16" s="3"/>
      <c r="X16" s="3">
        <f>+P16-T16</f>
        <v>2369.56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>
        <f>D12-D15</f>
        <v>0</v>
      </c>
      <c r="E18" s="15"/>
      <c r="F18" s="22">
        <f>IF(D$12=0,0,D18/D$12)</f>
        <v>0</v>
      </c>
      <c r="G18" s="15"/>
      <c r="H18" s="23">
        <f>H12-H15</f>
        <v>2369.56</v>
      </c>
      <c r="I18" s="15"/>
      <c r="J18" s="22">
        <f>IF(H$12=0,0,H18/H$12)</f>
        <v>0</v>
      </c>
      <c r="K18" s="17"/>
      <c r="L18" s="23">
        <f>+D18-H18</f>
        <v>-2369.56</v>
      </c>
      <c r="M18" s="17"/>
      <c r="N18" s="22">
        <f>IF(H18=0,0,L18/H18)</f>
        <v>-1</v>
      </c>
      <c r="O18" s="27"/>
      <c r="P18" s="23">
        <f>P12-P15</f>
        <v>0</v>
      </c>
      <c r="Q18" s="15"/>
      <c r="R18" s="22">
        <f>IF(P$12=0,0,P18/P$12)</f>
        <v>0</v>
      </c>
      <c r="S18" s="15"/>
      <c r="T18" s="23">
        <f>T12-T15</f>
        <v>3344.47</v>
      </c>
      <c r="U18" s="15"/>
      <c r="V18" s="22">
        <f>IF(T$12=0,0,T18/T$12)</f>
        <v>3.4305423064693152</v>
      </c>
      <c r="W18" s="17"/>
      <c r="X18" s="23">
        <f>+P18-T18</f>
        <v>-3344.47</v>
      </c>
      <c r="Y18" s="17"/>
      <c r="Z18" s="22">
        <f>IF(T18=0,0,X18/T18)</f>
        <v>-1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cm="1">
        <f t="array" ref="D20">SUM(OSRRefD22x_0)</f>
        <v>0</v>
      </c>
      <c r="E20" s="21"/>
      <c r="F20" s="30">
        <f t="shared" ref="F20:F33" si="0">IF(D$12=0,0,D20/D$12)</f>
        <v>0</v>
      </c>
      <c r="G20" s="21"/>
      <c r="H20" s="21" cm="1">
        <f t="array" ref="H20">SUM(OSRRefH22x_0)</f>
        <v>1909.09</v>
      </c>
      <c r="I20" s="21"/>
      <c r="J20" s="30">
        <f t="shared" ref="J20:J33" si="1">IF(H$12=0,0,H20/H$12)</f>
        <v>0</v>
      </c>
      <c r="K20" s="5"/>
      <c r="L20" s="21">
        <f t="shared" ref="L20:L33" si="2">+D20-H20</f>
        <v>-1909.09</v>
      </c>
      <c r="M20" s="5"/>
      <c r="N20" s="30">
        <f t="shared" ref="N20:N33" si="3">IF(H20=0,0,L20/H20)</f>
        <v>-1</v>
      </c>
      <c r="O20" s="11"/>
      <c r="P20" s="21" cm="1">
        <f t="array" ref="P20">SUM(OSRRefP22x_0)</f>
        <v>310.49</v>
      </c>
      <c r="Q20" s="21"/>
      <c r="R20" s="30">
        <f t="shared" ref="R20:R33" si="4">IF(P$12=0,0,P20/P$12)</f>
        <v>0</v>
      </c>
      <c r="S20" s="21"/>
      <c r="T20" s="21" cm="1">
        <f t="array" ref="T20">SUM(OSRRefT22x_0)</f>
        <v>16137.25</v>
      </c>
      <c r="U20" s="21"/>
      <c r="V20" s="30">
        <f t="shared" ref="V20:V33" si="5">IF(T$12=0,0,T20/T$12)</f>
        <v>16.552553569047401</v>
      </c>
      <c r="W20" s="5"/>
      <c r="X20" s="21">
        <f t="shared" ref="X20:X33" si="6">+P20-T20</f>
        <v>-15826.76</v>
      </c>
      <c r="Y20" s="5"/>
      <c r="Z20" s="30">
        <f t="shared" ref="Z20:Z33" si="7">IF(T20=0,0,X20/T20)</f>
        <v>-0.98075942307394381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702.51</v>
      </c>
      <c r="U21" s="2"/>
      <c r="V21" s="6">
        <f t="shared" si="5"/>
        <v>0.72058959288549718</v>
      </c>
      <c r="W21" s="2"/>
      <c r="X21" s="2">
        <f t="shared" si="6"/>
        <v>-702.51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702.51</v>
      </c>
      <c r="U22" s="3"/>
      <c r="V22" s="7">
        <f t="shared" si="5"/>
        <v>0.72058959288549718</v>
      </c>
      <c r="W22" s="3"/>
      <c r="X22" s="8">
        <f t="shared" si="6"/>
        <v>-702.51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5"/>
      <c r="B23" s="14" t="str">
        <f>CONCATENATE("     ","Advertising/Promo                                 ")</f>
        <v xml:space="preserve">     Advertising/Promo                                 </v>
      </c>
      <c r="C23" s="14"/>
      <c r="D23" s="2">
        <f>SUM(OSRRefD22_1x_0)</f>
        <v>0</v>
      </c>
      <c r="E23" s="2"/>
      <c r="F23" s="6">
        <f t="shared" si="0"/>
        <v>0</v>
      </c>
      <c r="G23" s="2"/>
      <c r="H23" s="2">
        <f>SUM(OSRRefH22_1x_0)</f>
        <v>83.83</v>
      </c>
      <c r="I23" s="2"/>
      <c r="J23" s="6">
        <f t="shared" si="1"/>
        <v>0</v>
      </c>
      <c r="K23" s="2"/>
      <c r="L23" s="2">
        <f t="shared" si="2"/>
        <v>-83.83</v>
      </c>
      <c r="M23" s="2"/>
      <c r="N23" s="6">
        <f t="shared" si="3"/>
        <v>-1</v>
      </c>
      <c r="O23" s="14"/>
      <c r="P23" s="2">
        <f>SUM(OSRRefP22_1x_0)</f>
        <v>0</v>
      </c>
      <c r="Q23" s="2"/>
      <c r="R23" s="6">
        <f t="shared" si="4"/>
        <v>0</v>
      </c>
      <c r="S23" s="2"/>
      <c r="T23" s="2">
        <f>SUM(OSRRefT22_1x_0)</f>
        <v>83.83</v>
      </c>
      <c r="U23" s="2"/>
      <c r="V23" s="6">
        <f t="shared" si="5"/>
        <v>8.5987424480208435E-2</v>
      </c>
      <c r="W23" s="2"/>
      <c r="X23" s="2">
        <f t="shared" si="6"/>
        <v>-83.83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","6362"," - ","ADVERTISING EXPENSE")</f>
        <v xml:space="preserve">          6362 - ADVERTISING EXPENSE</v>
      </c>
      <c r="C24" s="12"/>
      <c r="D24" s="8"/>
      <c r="E24" s="3"/>
      <c r="F24" s="7">
        <f t="shared" si="0"/>
        <v>0</v>
      </c>
      <c r="G24" s="3"/>
      <c r="H24" s="8">
        <v>83.83</v>
      </c>
      <c r="I24" s="3"/>
      <c r="J24" s="7">
        <f t="shared" si="1"/>
        <v>0</v>
      </c>
      <c r="K24" s="3"/>
      <c r="L24" s="8">
        <f t="shared" si="2"/>
        <v>-83.83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83.83</v>
      </c>
      <c r="U24" s="3"/>
      <c r="V24" s="7">
        <f t="shared" si="5"/>
        <v>8.5987424480208435E-2</v>
      </c>
      <c r="W24" s="3"/>
      <c r="X24" s="8">
        <f t="shared" si="6"/>
        <v>-83.83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","Depreciation                                      ")</f>
        <v xml:space="preserve">     Depreciation                                      </v>
      </c>
      <c r="C25" s="14"/>
      <c r="D25" s="2">
        <f>SUM(OSRRefD22_2x_0)</f>
        <v>0</v>
      </c>
      <c r="E25" s="2"/>
      <c r="F25" s="6">
        <f t="shared" si="0"/>
        <v>0</v>
      </c>
      <c r="G25" s="2"/>
      <c r="H25" s="2">
        <f>SUM(OSRRefH22_2x_0)</f>
        <v>1825.26</v>
      </c>
      <c r="I25" s="2"/>
      <c r="J25" s="6">
        <f t="shared" si="1"/>
        <v>0</v>
      </c>
      <c r="K25" s="2"/>
      <c r="L25" s="2">
        <f t="shared" si="2"/>
        <v>-1825.26</v>
      </c>
      <c r="M25" s="2"/>
      <c r="N25" s="6">
        <f t="shared" si="3"/>
        <v>-1</v>
      </c>
      <c r="O25" s="14"/>
      <c r="P25" s="2">
        <f>SUM(OSRRefP22_2x_0)</f>
        <v>0</v>
      </c>
      <c r="Q25" s="2"/>
      <c r="R25" s="6">
        <f t="shared" si="4"/>
        <v>0</v>
      </c>
      <c r="S25" s="2"/>
      <c r="T25" s="2">
        <f>SUM(OSRRefT22_2x_0)</f>
        <v>14748.87</v>
      </c>
      <c r="U25" s="2"/>
      <c r="V25" s="6">
        <f t="shared" si="5"/>
        <v>15.128442625473122</v>
      </c>
      <c r="W25" s="2"/>
      <c r="X25" s="2">
        <f t="shared" si="6"/>
        <v>-14748.87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","6322"," - ","EQUIPMENT DEPRECIATION EXPENSE")</f>
        <v xml:space="preserve">          6322 - EQUIPMENT DEPRECIATION EXPENSE</v>
      </c>
      <c r="C26" s="12"/>
      <c r="D26" s="8"/>
      <c r="E26" s="3"/>
      <c r="F26" s="7">
        <f t="shared" si="0"/>
        <v>0</v>
      </c>
      <c r="G26" s="3"/>
      <c r="H26" s="8">
        <v>1825.26</v>
      </c>
      <c r="I26" s="3"/>
      <c r="J26" s="7">
        <f t="shared" si="1"/>
        <v>0</v>
      </c>
      <c r="K26" s="3"/>
      <c r="L26" s="8">
        <f t="shared" si="2"/>
        <v>-1825.26</v>
      </c>
      <c r="M26" s="3"/>
      <c r="N26" s="7">
        <f t="shared" si="3"/>
        <v>-1</v>
      </c>
      <c r="O26" s="12"/>
      <c r="P26" s="8"/>
      <c r="Q26" s="3"/>
      <c r="R26" s="7">
        <f t="shared" si="4"/>
        <v>0</v>
      </c>
      <c r="S26" s="3"/>
      <c r="T26" s="8">
        <v>14748.87</v>
      </c>
      <c r="U26" s="3"/>
      <c r="V26" s="7">
        <f t="shared" si="5"/>
        <v>15.128442625473122</v>
      </c>
      <c r="W26" s="3"/>
      <c r="X26" s="8">
        <f t="shared" si="6"/>
        <v>-14748.87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","Equipment Rental                                  ")</f>
        <v xml:space="preserve">     Equipment Rental                                  </v>
      </c>
      <c r="C27" s="14"/>
      <c r="D27" s="2">
        <f>SUM(OSRRefD22_3x_0)</f>
        <v>0</v>
      </c>
      <c r="E27" s="2"/>
      <c r="F27" s="6">
        <f t="shared" si="0"/>
        <v>0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SUM(OSRRefP22_3x_0)</f>
        <v>118.91</v>
      </c>
      <c r="Q27" s="2"/>
      <c r="R27" s="6">
        <f t="shared" si="4"/>
        <v>0</v>
      </c>
      <c r="S27" s="2"/>
      <c r="T27" s="2">
        <f>SUM(OSRRefT22_3x_0)</f>
        <v>96.3</v>
      </c>
      <c r="U27" s="2"/>
      <c r="V27" s="6">
        <f t="shared" si="5"/>
        <v>9.8778348770655749E-2</v>
      </c>
      <c r="W27" s="2"/>
      <c r="X27" s="2">
        <f t="shared" si="6"/>
        <v>22.61</v>
      </c>
      <c r="Y27" s="2"/>
      <c r="Z27" s="6">
        <f t="shared" si="7"/>
        <v>0.2347871235721703</v>
      </c>
    </row>
    <row r="28" spans="1:26" s="69" customFormat="1" ht="15" hidden="1" customHeight="1" outlineLevel="2" x14ac:dyDescent="0.3">
      <c r="A28" s="26"/>
      <c r="B28" s="12" t="str">
        <f>CONCATENATE("          ","6351"," - ","EQUIPMENT RENTAL")</f>
        <v xml:space="preserve">          6351 - EQUIPMENT RENTAL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118.91</v>
      </c>
      <c r="Q28" s="3"/>
      <c r="R28" s="7">
        <f t="shared" si="4"/>
        <v>0</v>
      </c>
      <c r="S28" s="3"/>
      <c r="T28" s="8">
        <v>96.3</v>
      </c>
      <c r="U28" s="3"/>
      <c r="V28" s="7">
        <f t="shared" si="5"/>
        <v>9.8778348770655749E-2</v>
      </c>
      <c r="W28" s="3"/>
      <c r="X28" s="8">
        <f t="shared" si="6"/>
        <v>22.61</v>
      </c>
      <c r="Y28" s="3"/>
      <c r="Z28" s="7">
        <f t="shared" si="7"/>
        <v>0.2347871235721703</v>
      </c>
    </row>
    <row r="29" spans="1:26" s="68" customFormat="1" ht="15" customHeight="1" outlineLevel="1" collapsed="1" x14ac:dyDescent="0.3">
      <c r="A29" s="25"/>
      <c r="B29" s="14" t="str">
        <f>CONCATENATE("     ","General                                           ")</f>
        <v xml:space="preserve">     General 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7.28</v>
      </c>
      <c r="U29" s="2"/>
      <c r="V29" s="6">
        <f t="shared" si="5"/>
        <v>7.467355961063073E-3</v>
      </c>
      <c r="W29" s="2"/>
      <c r="X29" s="2">
        <f t="shared" si="6"/>
        <v>-7.28</v>
      </c>
      <c r="Y29" s="2"/>
      <c r="Z29" s="6">
        <f t="shared" si="7"/>
        <v>-1</v>
      </c>
    </row>
    <row r="30" spans="1:26" s="69" customFormat="1" ht="15" hidden="1" customHeight="1" outlineLevel="2" x14ac:dyDescent="0.3">
      <c r="A30" s="26"/>
      <c r="B30" s="12" t="str">
        <f>CONCATENATE("          ","6279"," - ","GENERAL EXPENSE")</f>
        <v xml:space="preserve">          6279 - GENERAL EXPENSE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7.28</v>
      </c>
      <c r="U30" s="3"/>
      <c r="V30" s="7">
        <f t="shared" si="5"/>
        <v>7.467355961063073E-3</v>
      </c>
      <c r="W30" s="3"/>
      <c r="X30" s="8">
        <f t="shared" si="6"/>
        <v>-7.28</v>
      </c>
      <c r="Y30" s="3"/>
      <c r="Z30" s="7">
        <f t="shared" si="7"/>
        <v>-1</v>
      </c>
    </row>
    <row r="31" spans="1:26" s="68" customFormat="1" ht="15" customHeight="1" outlineLevel="1" collapsed="1" x14ac:dyDescent="0.3">
      <c r="A31" s="25"/>
      <c r="B31" s="14" t="str">
        <f>CONCATENATE("     ","Repair and Maintenance                            ")</f>
        <v xml:space="preserve">     Repair and Maintenance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191.58</v>
      </c>
      <c r="Q31" s="2"/>
      <c r="R31" s="6">
        <f t="shared" si="4"/>
        <v>0</v>
      </c>
      <c r="S31" s="2"/>
      <c r="T31" s="2">
        <f>SUM(OSRRefT22_5x_0)</f>
        <v>498.46</v>
      </c>
      <c r="U31" s="2"/>
      <c r="V31" s="6">
        <f t="shared" si="5"/>
        <v>0.51128822147685427</v>
      </c>
      <c r="W31" s="2"/>
      <c r="X31" s="2">
        <f t="shared" si="6"/>
        <v>-306.88</v>
      </c>
      <c r="Y31" s="2"/>
      <c r="Z31" s="6">
        <f t="shared" si="7"/>
        <v>-0.61565622116117646</v>
      </c>
    </row>
    <row r="32" spans="1:26" s="69" customFormat="1" ht="15" hidden="1" customHeight="1" outlineLevel="2" x14ac:dyDescent="0.3">
      <c r="A32" s="26"/>
      <c r="B32" s="12" t="str">
        <f>CONCATENATE("          ","6373"," - ","MAINTENANCE CONTRACTS")</f>
        <v xml:space="preserve">          6373 - MAINTENANCE CONTRACTS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191.58</v>
      </c>
      <c r="Q32" s="3"/>
      <c r="R32" s="7">
        <f t="shared" si="4"/>
        <v>0</v>
      </c>
      <c r="S32" s="3"/>
      <c r="T32" s="8">
        <v>298.45999999999998</v>
      </c>
      <c r="U32" s="3"/>
      <c r="V32" s="7">
        <f t="shared" si="5"/>
        <v>0.30614107968940724</v>
      </c>
      <c r="W32" s="3"/>
      <c r="X32" s="8">
        <f t="shared" si="6"/>
        <v>-106.87999999999997</v>
      </c>
      <c r="Y32" s="3"/>
      <c r="Z32" s="7">
        <f t="shared" si="7"/>
        <v>-0.3581049386852509</v>
      </c>
    </row>
    <row r="33" spans="1:26" s="69" customFormat="1" ht="15" hidden="1" customHeight="1" outlineLevel="2" x14ac:dyDescent="0.3">
      <c r="A33" s="26"/>
      <c r="B33" s="12" t="str">
        <f>CONCATENATE("          ","6375"," - ","OUTSIDE REPAIRS &amp; MAINTENANCE")</f>
        <v xml:space="preserve">          6375 - OUTSIDE REPAIRS &amp; MAINTENANCE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200</v>
      </c>
      <c r="U33" s="3"/>
      <c r="V33" s="7">
        <f t="shared" si="5"/>
        <v>0.20514714178744706</v>
      </c>
      <c r="W33" s="3"/>
      <c r="X33" s="8">
        <f t="shared" si="6"/>
        <v>-200</v>
      </c>
      <c r="Y33" s="3"/>
      <c r="Z33" s="7">
        <f t="shared" si="7"/>
        <v>-1</v>
      </c>
    </row>
    <row r="34" spans="1:26" s="64" customFormat="1" ht="15" customHeight="1" x14ac:dyDescent="0.3">
      <c r="A34" s="36"/>
      <c r="B34" s="36"/>
      <c r="C34" s="36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3">
      <c r="A35" s="11"/>
      <c r="B35" s="27" t="s">
        <v>290</v>
      </c>
      <c r="C35" s="11"/>
      <c r="D35" s="5">
        <f>SUM(0)</f>
        <v>0</v>
      </c>
      <c r="E35" s="5"/>
      <c r="F35" s="13">
        <f>IF(D$12=0,0,D35/D$12)</f>
        <v>0</v>
      </c>
      <c r="G35" s="5"/>
      <c r="H35" s="5">
        <f>SUM(0)</f>
        <v>0</v>
      </c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>
        <f>SUM(0)</f>
        <v>0</v>
      </c>
      <c r="Q35" s="5"/>
      <c r="R35" s="13">
        <f>IF(P$12=0,0,P35/P$12)</f>
        <v>0</v>
      </c>
      <c r="S35" s="5"/>
      <c r="T35" s="5">
        <f>SUM(0)</f>
        <v>0</v>
      </c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3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291</v>
      </c>
      <c r="C37" s="28"/>
      <c r="D37" s="23">
        <f>+D18-D20+D35</f>
        <v>0</v>
      </c>
      <c r="E37" s="15"/>
      <c r="F37" s="22">
        <f>IF(D$12=0,0,D37/D$12)</f>
        <v>0</v>
      </c>
      <c r="G37" s="15"/>
      <c r="H37" s="23">
        <f>+H18-H20+H35</f>
        <v>460.47</v>
      </c>
      <c r="I37" s="15"/>
      <c r="J37" s="22">
        <f>IF(H$12=0,0,H37/H$12)</f>
        <v>0</v>
      </c>
      <c r="K37" s="17"/>
      <c r="L37" s="23">
        <f>+D37-H37</f>
        <v>-460.47</v>
      </c>
      <c r="M37" s="17"/>
      <c r="N37" s="22">
        <f>IF(H37=0,0,L37/H37)</f>
        <v>-1</v>
      </c>
      <c r="O37" s="27"/>
      <c r="P37" s="23">
        <f>+P18-P20+P35</f>
        <v>-310.49</v>
      </c>
      <c r="Q37" s="15"/>
      <c r="R37" s="22">
        <f>IF(P$12=0,0,P37/P$12)</f>
        <v>0</v>
      </c>
      <c r="S37" s="15"/>
      <c r="T37" s="23">
        <f>+T18-T20+T35</f>
        <v>-12792.78</v>
      </c>
      <c r="U37" s="15"/>
      <c r="V37" s="22">
        <f>IF(T$12=0,0,T37/T$12)</f>
        <v>-13.122011262578086</v>
      </c>
      <c r="W37" s="17"/>
      <c r="X37" s="23">
        <f>+P37-T37</f>
        <v>12482.29</v>
      </c>
      <c r="Y37" s="17"/>
      <c r="Z37" s="22">
        <f>IF(T37=0,0,X37/T37)</f>
        <v>-0.97572927854617997</v>
      </c>
    </row>
    <row r="38" spans="1:26" ht="15" customHeight="1" x14ac:dyDescent="0.3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48"/>
      <c r="B39" s="11" t="s">
        <v>292</v>
      </c>
      <c r="C39" s="11"/>
      <c r="D39" s="5"/>
      <c r="E39" s="5"/>
      <c r="F39" s="13">
        <f>IF(D$12=0,0,D39/D$12)</f>
        <v>0</v>
      </c>
      <c r="G39" s="5"/>
      <c r="H39" s="5">
        <v>16.100000000000001</v>
      </c>
      <c r="I39" s="5"/>
      <c r="J39" s="13">
        <f>IF(H$12=0,0,H39/H$12)</f>
        <v>0</v>
      </c>
      <c r="K39" s="5"/>
      <c r="L39" s="5">
        <f>+D39-H39</f>
        <v>-16.100000000000001</v>
      </c>
      <c r="M39" s="5"/>
      <c r="N39" s="13">
        <f>IF(H39=0,0,L39/H39)</f>
        <v>-1</v>
      </c>
      <c r="O39" s="11"/>
      <c r="P39" s="5"/>
      <c r="Q39" s="5"/>
      <c r="R39" s="13">
        <f>IF(P$12=0,0,P39/P$12)</f>
        <v>0</v>
      </c>
      <c r="S39" s="5"/>
      <c r="T39" s="5">
        <v>193.07</v>
      </c>
      <c r="U39" s="5"/>
      <c r="V39" s="13">
        <f>IF(T$12=0,0,T39/T$12)</f>
        <v>0.19803879332451202</v>
      </c>
      <c r="W39" s="5"/>
      <c r="X39" s="5">
        <f>+P39-T39</f>
        <v>-193.07</v>
      </c>
      <c r="Y39" s="5"/>
      <c r="Z39" s="13">
        <f>IF(T39=0,0,X39/T39)</f>
        <v>-1</v>
      </c>
    </row>
    <row r="40" spans="1:26" ht="15" customHeight="1" x14ac:dyDescent="0.3">
      <c r="A40" s="10"/>
      <c r="B40" s="11"/>
      <c r="C40" s="11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O40" s="11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s="62" customFormat="1" ht="15" customHeight="1" x14ac:dyDescent="0.3">
      <c r="A41" s="11"/>
      <c r="B41" s="28" t="s">
        <v>293</v>
      </c>
      <c r="C41" s="28"/>
      <c r="D41" s="33">
        <f>+D37-D39</f>
        <v>0</v>
      </c>
      <c r="E41" s="15"/>
      <c r="F41" s="34">
        <f>IF(D$12=0,0,D41/D$12)</f>
        <v>0</v>
      </c>
      <c r="G41" s="15"/>
      <c r="H41" s="33">
        <f>+H37-H39</f>
        <v>444.37</v>
      </c>
      <c r="I41" s="15"/>
      <c r="J41" s="34">
        <f>IF(H$12=0,0,H41/H$12)</f>
        <v>0</v>
      </c>
      <c r="K41" s="17"/>
      <c r="L41" s="33">
        <f>D41-H41</f>
        <v>-444.37</v>
      </c>
      <c r="M41" s="17"/>
      <c r="N41" s="34">
        <f>IF(H41=0,0,L41/H41)</f>
        <v>-1</v>
      </c>
      <c r="O41" s="27"/>
      <c r="P41" s="33">
        <f>+P37-P39</f>
        <v>-310.49</v>
      </c>
      <c r="Q41" s="15"/>
      <c r="R41" s="34">
        <f>IF(P$12=0,0,P41/P$12)</f>
        <v>0</v>
      </c>
      <c r="S41" s="15"/>
      <c r="T41" s="33">
        <f>+T37-T39</f>
        <v>-12985.85</v>
      </c>
      <c r="U41" s="15"/>
      <c r="V41" s="34">
        <f>IF(T$12=0,0,T41/T$12)</f>
        <v>-13.320050055902596</v>
      </c>
      <c r="W41" s="17"/>
      <c r="X41" s="33">
        <f>P41-T41</f>
        <v>12675.36</v>
      </c>
      <c r="Y41" s="17"/>
      <c r="Z41" s="34">
        <f>IF(T41=0,0,X41/T41)</f>
        <v>-0.97609012887104041</v>
      </c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8" t="s">
        <v>296</v>
      </c>
      <c r="C44" s="28"/>
      <c r="D44" s="35">
        <f>SUM(D41:D43)</f>
        <v>0</v>
      </c>
      <c r="E44" s="15"/>
      <c r="F44" s="29">
        <f>IF(D$12=0,0,D44/D$12)</f>
        <v>0</v>
      </c>
      <c r="G44" s="15"/>
      <c r="H44" s="35">
        <f>SUM(H41:H43)</f>
        <v>444.37</v>
      </c>
      <c r="I44" s="15"/>
      <c r="J44" s="29">
        <f>IF(H$12=0,0,H44/H$12)</f>
        <v>0</v>
      </c>
      <c r="K44" s="17"/>
      <c r="L44" s="35">
        <f>+D44-H44</f>
        <v>-444.37</v>
      </c>
      <c r="M44" s="17"/>
      <c r="N44" s="29">
        <f>IF(H44=0,0,L44/H44)</f>
        <v>-1</v>
      </c>
      <c r="O44" s="27"/>
      <c r="P44" s="35">
        <f>SUM(P41:P43)</f>
        <v>-310.49</v>
      </c>
      <c r="Q44" s="15"/>
      <c r="R44" s="29">
        <f>IF(P$12=0,0,P44/P$12)</f>
        <v>0</v>
      </c>
      <c r="S44" s="15"/>
      <c r="T44" s="35">
        <f>SUM(T41:T43)</f>
        <v>-12985.85</v>
      </c>
      <c r="U44" s="15"/>
      <c r="V44" s="29">
        <f>IF(T$12=0,0,T44/T$12)</f>
        <v>-13.320050055902596</v>
      </c>
      <c r="W44" s="17"/>
      <c r="X44" s="35">
        <f>+P44-T44</f>
        <v>12675.36</v>
      </c>
      <c r="Y44" s="17"/>
      <c r="Z44" s="29">
        <f>IF(T44=0,0,X44/T44)</f>
        <v>-0.97609012887104041</v>
      </c>
    </row>
    <row r="45" spans="1:26" ht="15" customHeight="1" x14ac:dyDescent="0.3">
      <c r="A45" s="10"/>
      <c r="C45" s="10"/>
      <c r="D45" s="18"/>
      <c r="E45" s="18"/>
      <c r="G45" s="18"/>
      <c r="H45" s="18"/>
      <c r="I45" s="18"/>
      <c r="J45" s="41"/>
      <c r="K45" s="18"/>
      <c r="L45" s="18"/>
      <c r="M45" s="18"/>
      <c r="P45" s="18"/>
      <c r="Q45" s="18"/>
      <c r="R45" s="41"/>
      <c r="S45" s="18"/>
      <c r="T45" s="18"/>
      <c r="U45" s="18"/>
      <c r="V45" s="41"/>
      <c r="W45" s="18"/>
      <c r="X45" s="18"/>
    </row>
    <row r="46" spans="1:26" ht="15" customHeight="1" x14ac:dyDescent="0.3">
      <c r="A46" s="10"/>
      <c r="B46" s="50">
        <v>44634.887810300927</v>
      </c>
      <c r="D46" s="18"/>
      <c r="E46" s="18"/>
      <c r="G46" s="18"/>
      <c r="H46" s="18"/>
      <c r="I46" s="18"/>
      <c r="J46" s="41"/>
      <c r="K46" s="18"/>
      <c r="L46" s="18"/>
      <c r="M46" s="18"/>
      <c r="P46" s="18"/>
      <c r="Q46" s="18"/>
      <c r="R46" s="41"/>
      <c r="S46" s="18"/>
      <c r="T46" s="18"/>
      <c r="U46" s="18"/>
      <c r="V46" s="41"/>
      <c r="W46" s="18"/>
      <c r="X46" s="18"/>
    </row>
    <row r="47" spans="1:26" ht="15" customHeight="1" x14ac:dyDescent="0.3">
      <c r="A47" s="10"/>
      <c r="B47" s="58" t="s">
        <v>297</v>
      </c>
      <c r="D47" s="18"/>
      <c r="E47" s="18"/>
      <c r="G47" s="18"/>
      <c r="H47" s="18"/>
      <c r="I47" s="18"/>
      <c r="J47" s="41"/>
      <c r="K47" s="18"/>
      <c r="L47" s="18"/>
      <c r="M47" s="18"/>
      <c r="P47" s="18"/>
      <c r="Q47" s="18"/>
      <c r="R47" s="41"/>
      <c r="S47" s="18"/>
      <c r="T47" s="18"/>
      <c r="U47" s="18"/>
      <c r="V47" s="41"/>
      <c r="W47" s="18"/>
      <c r="X47" s="18"/>
    </row>
    <row r="48" spans="1:26" ht="15" customHeight="1" x14ac:dyDescent="0.3">
      <c r="A48" s="10"/>
      <c r="B48" s="56"/>
      <c r="D48" s="18"/>
      <c r="E48" s="18"/>
      <c r="G48" s="18"/>
      <c r="H48" s="18"/>
      <c r="I48" s="18"/>
      <c r="J48" s="41"/>
      <c r="K48" s="18"/>
      <c r="L48" s="18"/>
      <c r="M48" s="18"/>
      <c r="P48" s="18"/>
      <c r="Q48" s="18"/>
      <c r="R48" s="41"/>
      <c r="S48" s="18"/>
      <c r="T48" s="18"/>
      <c r="U48" s="18"/>
      <c r="V48" s="41"/>
      <c r="W48" s="18"/>
      <c r="X48" s="18"/>
    </row>
    <row r="49" spans="4:24" ht="15" customHeight="1" x14ac:dyDescent="0.3">
      <c r="D49" s="18"/>
      <c r="E49" s="18"/>
      <c r="G49" s="18"/>
      <c r="H49" s="18"/>
      <c r="I49" s="18"/>
      <c r="J49" s="41"/>
      <c r="K49" s="18"/>
      <c r="L49" s="18"/>
      <c r="M49" s="18"/>
      <c r="P49" s="18"/>
      <c r="Q49" s="18"/>
      <c r="R49" s="41"/>
      <c r="S49" s="18"/>
      <c r="T49" s="18"/>
      <c r="U49" s="18"/>
      <c r="V49" s="41"/>
      <c r="W49" s="18"/>
      <c r="X49" s="18"/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410D-8E01-400D-0245-A1BC98C42B21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","415"," - ","Outpost")</f>
        <v>Department 415 - Outpost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122000.78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122000.78</v>
      </c>
      <c r="M12" s="5"/>
      <c r="N12" s="13">
        <f>IF(H12=0,0,L12/H12)</f>
        <v>0</v>
      </c>
      <c r="O12" s="11"/>
      <c r="P12" s="5">
        <f>SUM(OSRRefP13x_0)</f>
        <v>441496.5</v>
      </c>
      <c r="Q12" s="5"/>
      <c r="R12" s="13"/>
      <c r="S12" s="5"/>
      <c r="T12" s="5">
        <f>SUM(OSRRefT13x_0)</f>
        <v>45135.7</v>
      </c>
      <c r="U12" s="5"/>
      <c r="V12" s="13"/>
      <c r="W12" s="5"/>
      <c r="X12" s="5">
        <f>+P12-T12</f>
        <v>396360.8</v>
      </c>
      <c r="Y12" s="5"/>
      <c r="Z12" s="13">
        <f>IF(T12=0,0,X12/T12)</f>
        <v>8.7815365663986604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--36524.87</f>
        <v>36524.870000000003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36524.870000000003</v>
      </c>
      <c r="M13" s="3"/>
      <c r="N13" s="20">
        <f>IF(H13=0,0,L13/H13)</f>
        <v>0</v>
      </c>
      <c r="O13" s="12"/>
      <c r="P13" s="3">
        <f>--162181.07</f>
        <v>162181.07</v>
      </c>
      <c r="Q13" s="3"/>
      <c r="R13" s="20"/>
      <c r="S13" s="3"/>
      <c r="T13" s="3">
        <f>--22964.48</f>
        <v>22964.48</v>
      </c>
      <c r="U13" s="3"/>
      <c r="V13" s="20"/>
      <c r="W13" s="3"/>
      <c r="X13" s="3">
        <f>+P13-T13</f>
        <v>139216.59</v>
      </c>
      <c r="Y13" s="3"/>
      <c r="Z13" s="20">
        <f>IF(T13=0,0,X13/T13)</f>
        <v>6.0622574515077199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--85475.91</f>
        <v>85475.91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85475.91</v>
      </c>
      <c r="M14" s="3"/>
      <c r="N14" s="20">
        <f>IF(H14=0,0,L14/H14)</f>
        <v>0</v>
      </c>
      <c r="O14" s="12"/>
      <c r="P14" s="3">
        <f>--279315.43</f>
        <v>279315.43</v>
      </c>
      <c r="Q14" s="3"/>
      <c r="R14" s="20"/>
      <c r="S14" s="3"/>
      <c r="T14" s="3">
        <f>--22171.22</f>
        <v>22171.22</v>
      </c>
      <c r="U14" s="3"/>
      <c r="V14" s="20"/>
      <c r="W14" s="3"/>
      <c r="X14" s="3">
        <f>+P14-T14</f>
        <v>257144.21</v>
      </c>
      <c r="Y14" s="3"/>
      <c r="Z14" s="20">
        <f>IF(T14=0,0,X14/T14)</f>
        <v>11.598108268286543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38737.11</v>
      </c>
      <c r="E16" s="5"/>
      <c r="F16" s="13">
        <f>IF(D$12=0,0,D16/D$12)</f>
        <v>0.31751526506633809</v>
      </c>
      <c r="G16" s="5"/>
      <c r="H16" s="5">
        <f>SUM(OSRRefH16x_0)</f>
        <v>420</v>
      </c>
      <c r="I16" s="5"/>
      <c r="J16" s="13">
        <f>IF(H$12=0,0,H16/H$12)</f>
        <v>0</v>
      </c>
      <c r="K16" s="5"/>
      <c r="L16" s="5">
        <f>+D16-H16</f>
        <v>38317.11</v>
      </c>
      <c r="M16" s="5"/>
      <c r="N16" s="13">
        <f>IF(H16=0,0,L16/H16)</f>
        <v>91.231214285714287</v>
      </c>
      <c r="O16" s="11"/>
      <c r="P16" s="5">
        <f>SUM(OSRRefP16x_0)</f>
        <v>153589.9</v>
      </c>
      <c r="Q16" s="5"/>
      <c r="R16" s="13">
        <f>IF(P$12=0,0,P16/P$12)</f>
        <v>0.34788475106824174</v>
      </c>
      <c r="S16" s="5"/>
      <c r="T16" s="5">
        <f>SUM(OSRRefT16x_0)</f>
        <v>20593.349999999999</v>
      </c>
      <c r="U16" s="5"/>
      <c r="V16" s="13">
        <f>IF(T$12=0,0,T16/T$12)</f>
        <v>0.45625414029249572</v>
      </c>
      <c r="W16" s="5"/>
      <c r="X16" s="5">
        <f>+P16-T16</f>
        <v>132996.54999999999</v>
      </c>
      <c r="Y16" s="5"/>
      <c r="Z16" s="13">
        <f>IF(T16=0,0,X16/T16)</f>
        <v>6.4582280202104076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41817.35</v>
      </c>
      <c r="E17" s="3"/>
      <c r="F17" s="20">
        <f>IF(D$12=0,0,D17/D$12)</f>
        <v>0.34276297249902826</v>
      </c>
      <c r="G17" s="3"/>
      <c r="H17" s="3"/>
      <c r="I17" s="3"/>
      <c r="J17" s="20">
        <f>IF(H$12=0,0,H17/H$12)</f>
        <v>0</v>
      </c>
      <c r="K17" s="3"/>
      <c r="L17" s="3">
        <f>+D17-H17</f>
        <v>41817.35</v>
      </c>
      <c r="M17" s="3"/>
      <c r="N17" s="20">
        <f>IF(H17=0,0,L17/H17)</f>
        <v>0</v>
      </c>
      <c r="O17" s="12"/>
      <c r="P17" s="3">
        <v>160871.13</v>
      </c>
      <c r="Q17" s="3"/>
      <c r="R17" s="20">
        <f>IF(P$12=0,0,P17/P$12)</f>
        <v>0.36437690899021852</v>
      </c>
      <c r="S17" s="3"/>
      <c r="T17" s="3">
        <v>14844.27</v>
      </c>
      <c r="U17" s="3"/>
      <c r="V17" s="20">
        <f>IF(T$12=0,0,T17/T$12)</f>
        <v>0.32888090801737874</v>
      </c>
      <c r="W17" s="3"/>
      <c r="X17" s="3">
        <f>+P17-T17</f>
        <v>146026.86000000002</v>
      </c>
      <c r="Y17" s="3"/>
      <c r="Z17" s="20">
        <f>IF(T17=0,0,X17/T17)</f>
        <v>9.8372543749204251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-3080.24</v>
      </c>
      <c r="E18" s="3"/>
      <c r="F18" s="20">
        <f>IF(D$12=0,0,D18/D$12)</f>
        <v>-2.5247707432690183E-2</v>
      </c>
      <c r="G18" s="3"/>
      <c r="H18" s="3">
        <v>420</v>
      </c>
      <c r="I18" s="3"/>
      <c r="J18" s="20">
        <f>IF(H$12=0,0,H18/H$12)</f>
        <v>0</v>
      </c>
      <c r="K18" s="3"/>
      <c r="L18" s="3">
        <f>+D18-H18</f>
        <v>-3500.24</v>
      </c>
      <c r="M18" s="3"/>
      <c r="N18" s="20">
        <f>IF(H18=0,0,L18/H18)</f>
        <v>-8.3339047619047619</v>
      </c>
      <c r="O18" s="12"/>
      <c r="P18" s="3">
        <v>-7281.23</v>
      </c>
      <c r="Q18" s="3"/>
      <c r="R18" s="20">
        <f>IF(P$12=0,0,P18/P$12)</f>
        <v>-1.6492157921976731E-2</v>
      </c>
      <c r="S18" s="3"/>
      <c r="T18" s="3">
        <v>5749.08</v>
      </c>
      <c r="U18" s="3"/>
      <c r="V18" s="20">
        <f>IF(T$12=0,0,T18/T$12)</f>
        <v>0.12737323227511704</v>
      </c>
      <c r="W18" s="3"/>
      <c r="X18" s="3">
        <f>+P18-T18</f>
        <v>-13030.31</v>
      </c>
      <c r="Y18" s="3"/>
      <c r="Z18" s="20">
        <f>IF(T18=0,0,X18/T18)</f>
        <v>-2.2665035101268378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3">
        <f>D12-D16</f>
        <v>83263.67</v>
      </c>
      <c r="E20" s="15"/>
      <c r="F20" s="22">
        <f>IF(D$12=0,0,D20/D$12)</f>
        <v>0.68248473493366191</v>
      </c>
      <c r="G20" s="15"/>
      <c r="H20" s="23">
        <f>H12-H16</f>
        <v>-420</v>
      </c>
      <c r="I20" s="15"/>
      <c r="J20" s="22">
        <f>IF(H$12=0,0,H20/H$12)</f>
        <v>0</v>
      </c>
      <c r="K20" s="17"/>
      <c r="L20" s="23">
        <f>+D20-H20</f>
        <v>83683.67</v>
      </c>
      <c r="M20" s="17"/>
      <c r="N20" s="22">
        <f>IF(H20=0,0,L20/H20)</f>
        <v>-199.24683333333334</v>
      </c>
      <c r="O20" s="27"/>
      <c r="P20" s="23">
        <f>P12-P16</f>
        <v>287906.59999999998</v>
      </c>
      <c r="Q20" s="15"/>
      <c r="R20" s="22">
        <f>IF(P$12=0,0,P20/P$12)</f>
        <v>0.65211524893175821</v>
      </c>
      <c r="S20" s="15"/>
      <c r="T20" s="23">
        <f>T12-T16</f>
        <v>24542.35</v>
      </c>
      <c r="U20" s="15"/>
      <c r="V20" s="22">
        <f>IF(T$12=0,0,T20/T$12)</f>
        <v>0.54374585970750422</v>
      </c>
      <c r="W20" s="17"/>
      <c r="X20" s="23">
        <f>+P20-T20</f>
        <v>263364.25</v>
      </c>
      <c r="Y20" s="17"/>
      <c r="Z20" s="22">
        <f>IF(T20=0,0,X20/T20)</f>
        <v>10.731011903913032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1" cm="1">
        <f t="array" ref="D22">SUM(OSRRefD22x_0)</f>
        <v>87688.010000000009</v>
      </c>
      <c r="E22" s="21"/>
      <c r="F22" s="30">
        <f t="shared" ref="F22:F53" si="0">IF(D$12=0,0,D22/D$12)</f>
        <v>0.71874958504363673</v>
      </c>
      <c r="G22" s="21"/>
      <c r="H22" s="21" cm="1">
        <f t="array" ref="H22">SUM(OSRRefH22x_0)</f>
        <v>53730.95</v>
      </c>
      <c r="I22" s="21"/>
      <c r="J22" s="30">
        <f t="shared" ref="J22:J53" si="1">IF(H$12=0,0,H22/H$12)</f>
        <v>0</v>
      </c>
      <c r="K22" s="5"/>
      <c r="L22" s="21">
        <f t="shared" ref="L22:L53" si="2">+D22-H22</f>
        <v>33957.060000000012</v>
      </c>
      <c r="M22" s="5"/>
      <c r="N22" s="30">
        <f t="shared" ref="N22:N53" si="3">IF(H22=0,0,L22/H22)</f>
        <v>0.63198324243289972</v>
      </c>
      <c r="O22" s="11"/>
      <c r="P22" s="21" cm="1">
        <f t="array" ref="P22">SUM(OSRRefP22x_0)</f>
        <v>602803.02000000014</v>
      </c>
      <c r="Q22" s="21"/>
      <c r="R22" s="30">
        <f t="shared" ref="R22:R53" si="4">IF(P$12=0,0,P22/P$12)</f>
        <v>1.3653630776234922</v>
      </c>
      <c r="S22" s="21"/>
      <c r="T22" s="21" cm="1">
        <f t="array" ref="T22">SUM(OSRRefT22x_0)</f>
        <v>495099.76999999996</v>
      </c>
      <c r="U22" s="21"/>
      <c r="V22" s="30">
        <f t="shared" ref="V22:V53" si="5">IF(T$12=0,0,T22/T$12)</f>
        <v>10.969139062870411</v>
      </c>
      <c r="W22" s="5"/>
      <c r="X22" s="21">
        <f t="shared" ref="X22:X53" si="6">+P22-T22</f>
        <v>107703.25000000017</v>
      </c>
      <c r="Y22" s="5"/>
      <c r="Z22" s="30">
        <f t="shared" ref="Z22:Z53" si="7">IF(T22=0,0,X22/T22)</f>
        <v>0.21753847714370819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12170.800000000001</v>
      </c>
      <c r="E23" s="2"/>
      <c r="F23" s="6">
        <f t="shared" si="0"/>
        <v>9.9760017927754241E-2</v>
      </c>
      <c r="G23" s="2"/>
      <c r="H23" s="2">
        <f>SUM(OSRRefH22_0x_0)</f>
        <v>12482.81</v>
      </c>
      <c r="I23" s="2"/>
      <c r="J23" s="6">
        <f t="shared" si="1"/>
        <v>0</v>
      </c>
      <c r="K23" s="2"/>
      <c r="L23" s="2">
        <f t="shared" si="2"/>
        <v>-312.0099999999984</v>
      </c>
      <c r="M23" s="2"/>
      <c r="N23" s="6">
        <f t="shared" si="3"/>
        <v>-2.4995173362407856E-2</v>
      </c>
      <c r="O23" s="14"/>
      <c r="P23" s="2">
        <f>SUM(OSRRefP22_0x_0)</f>
        <v>101842.73000000001</v>
      </c>
      <c r="Q23" s="2"/>
      <c r="R23" s="6">
        <f t="shared" si="4"/>
        <v>0.230676188825959</v>
      </c>
      <c r="S23" s="2"/>
      <c r="T23" s="2">
        <f>SUM(OSRRefT22_0x_0)</f>
        <v>107252.07999999999</v>
      </c>
      <c r="U23" s="2"/>
      <c r="V23" s="6">
        <f t="shared" si="5"/>
        <v>2.3762139503763096</v>
      </c>
      <c r="W23" s="2"/>
      <c r="X23" s="2">
        <f t="shared" si="6"/>
        <v>-5409.3499999999767</v>
      </c>
      <c r="Y23" s="2"/>
      <c r="Z23" s="6">
        <f t="shared" si="7"/>
        <v>-5.0435851686978728E-2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1803.29</v>
      </c>
      <c r="E24" s="3"/>
      <c r="F24" s="7">
        <f t="shared" si="0"/>
        <v>1.4780971072480028E-2</v>
      </c>
      <c r="G24" s="3"/>
      <c r="H24" s="8">
        <v>1212.28</v>
      </c>
      <c r="I24" s="3"/>
      <c r="J24" s="7">
        <f t="shared" si="1"/>
        <v>0</v>
      </c>
      <c r="K24" s="3"/>
      <c r="L24" s="8">
        <f t="shared" si="2"/>
        <v>591.01</v>
      </c>
      <c r="M24" s="3"/>
      <c r="N24" s="7">
        <f t="shared" si="3"/>
        <v>0.48751938496057018</v>
      </c>
      <c r="O24" s="12"/>
      <c r="P24" s="8">
        <v>13606.82</v>
      </c>
      <c r="Q24" s="3"/>
      <c r="R24" s="7">
        <f t="shared" si="4"/>
        <v>3.0819768673137838E-2</v>
      </c>
      <c r="S24" s="3"/>
      <c r="T24" s="8">
        <v>12089.99</v>
      </c>
      <c r="U24" s="3"/>
      <c r="V24" s="7">
        <f t="shared" si="5"/>
        <v>0.26785870164858416</v>
      </c>
      <c r="W24" s="3"/>
      <c r="X24" s="8">
        <f t="shared" si="6"/>
        <v>1516.83</v>
      </c>
      <c r="Y24" s="3"/>
      <c r="Z24" s="7">
        <f t="shared" si="7"/>
        <v>0.12546164223460896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1138.8699999999999</v>
      </c>
      <c r="E25" s="3"/>
      <c r="F25" s="7">
        <f t="shared" si="0"/>
        <v>9.33494031759469E-3</v>
      </c>
      <c r="G25" s="3"/>
      <c r="H25" s="8">
        <v>592.94000000000005</v>
      </c>
      <c r="I25" s="3"/>
      <c r="J25" s="7">
        <f t="shared" si="1"/>
        <v>0</v>
      </c>
      <c r="K25" s="3"/>
      <c r="L25" s="8">
        <f t="shared" si="2"/>
        <v>545.92999999999984</v>
      </c>
      <c r="M25" s="3"/>
      <c r="N25" s="7">
        <f t="shared" si="3"/>
        <v>0.92071710459742939</v>
      </c>
      <c r="O25" s="12"/>
      <c r="P25" s="8">
        <v>7628.99</v>
      </c>
      <c r="Q25" s="3"/>
      <c r="R25" s="7">
        <f t="shared" si="4"/>
        <v>1.7279842535558039E-2</v>
      </c>
      <c r="S25" s="3"/>
      <c r="T25" s="8">
        <v>5351.92</v>
      </c>
      <c r="U25" s="3"/>
      <c r="V25" s="7">
        <f t="shared" si="5"/>
        <v>0.11857398910396871</v>
      </c>
      <c r="W25" s="3"/>
      <c r="X25" s="8">
        <f t="shared" si="6"/>
        <v>2277.0699999999997</v>
      </c>
      <c r="Y25" s="3"/>
      <c r="Z25" s="7">
        <f t="shared" si="7"/>
        <v>0.42546786947487997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6152.38</v>
      </c>
      <c r="E26" s="3"/>
      <c r="F26" s="7">
        <f t="shared" si="0"/>
        <v>5.0429021847237375E-2</v>
      </c>
      <c r="G26" s="3"/>
      <c r="H26" s="8">
        <v>6634.06</v>
      </c>
      <c r="I26" s="3"/>
      <c r="J26" s="7">
        <f t="shared" si="1"/>
        <v>0</v>
      </c>
      <c r="K26" s="3"/>
      <c r="L26" s="8">
        <f t="shared" si="2"/>
        <v>-481.68000000000029</v>
      </c>
      <c r="M26" s="3"/>
      <c r="N26" s="7">
        <f t="shared" si="3"/>
        <v>-7.2607121430918659E-2</v>
      </c>
      <c r="O26" s="12"/>
      <c r="P26" s="8">
        <v>49610.32</v>
      </c>
      <c r="Q26" s="3"/>
      <c r="R26" s="7">
        <f t="shared" si="4"/>
        <v>0.11236854652301886</v>
      </c>
      <c r="S26" s="3"/>
      <c r="T26" s="8">
        <v>54199.51</v>
      </c>
      <c r="U26" s="3"/>
      <c r="V26" s="7">
        <f t="shared" si="5"/>
        <v>1.2008124389341477</v>
      </c>
      <c r="W26" s="3"/>
      <c r="X26" s="8">
        <f t="shared" si="6"/>
        <v>-4589.1900000000023</v>
      </c>
      <c r="Y26" s="3"/>
      <c r="Z26" s="7">
        <f t="shared" si="7"/>
        <v>-8.467216770040914E-2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82.25</v>
      </c>
      <c r="E27" s="3"/>
      <c r="F27" s="7">
        <f t="shared" si="0"/>
        <v>6.7417601756316638E-4</v>
      </c>
      <c r="G27" s="3"/>
      <c r="H27" s="8">
        <v>52.32</v>
      </c>
      <c r="I27" s="3"/>
      <c r="J27" s="7">
        <f t="shared" si="1"/>
        <v>0</v>
      </c>
      <c r="K27" s="3"/>
      <c r="L27" s="8">
        <f t="shared" si="2"/>
        <v>29.93</v>
      </c>
      <c r="M27" s="3"/>
      <c r="N27" s="7">
        <f t="shared" si="3"/>
        <v>0.57205657492354745</v>
      </c>
      <c r="O27" s="12"/>
      <c r="P27" s="8">
        <v>550.99</v>
      </c>
      <c r="Q27" s="3"/>
      <c r="R27" s="7">
        <f t="shared" si="4"/>
        <v>1.2480053635759286E-3</v>
      </c>
      <c r="S27" s="3"/>
      <c r="T27" s="8">
        <v>472.51</v>
      </c>
      <c r="U27" s="3"/>
      <c r="V27" s="7">
        <f t="shared" si="5"/>
        <v>1.0468653416253653E-2</v>
      </c>
      <c r="W27" s="3"/>
      <c r="X27" s="8">
        <f t="shared" si="6"/>
        <v>78.480000000000018</v>
      </c>
      <c r="Y27" s="3"/>
      <c r="Z27" s="7">
        <f t="shared" si="7"/>
        <v>0.16609172292649896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398.51</v>
      </c>
      <c r="E28" s="3"/>
      <c r="F28" s="7">
        <f t="shared" si="0"/>
        <v>3.2664545259464732E-3</v>
      </c>
      <c r="G28" s="3"/>
      <c r="H28" s="8">
        <v>1482.29</v>
      </c>
      <c r="I28" s="3"/>
      <c r="J28" s="7">
        <f t="shared" si="1"/>
        <v>0</v>
      </c>
      <c r="K28" s="3"/>
      <c r="L28" s="8">
        <f t="shared" si="2"/>
        <v>-1083.78</v>
      </c>
      <c r="M28" s="3"/>
      <c r="N28" s="7">
        <f t="shared" si="3"/>
        <v>-0.73115247353756685</v>
      </c>
      <c r="O28" s="12"/>
      <c r="P28" s="8">
        <v>6525.63</v>
      </c>
      <c r="Q28" s="3"/>
      <c r="R28" s="7">
        <f t="shared" si="4"/>
        <v>1.4780706075812606E-2</v>
      </c>
      <c r="S28" s="3"/>
      <c r="T28" s="8">
        <v>12865.68</v>
      </c>
      <c r="U28" s="3"/>
      <c r="V28" s="7">
        <f t="shared" si="5"/>
        <v>0.28504443267745933</v>
      </c>
      <c r="W28" s="3"/>
      <c r="X28" s="8">
        <f t="shared" si="6"/>
        <v>-6340.05</v>
      </c>
      <c r="Y28" s="3"/>
      <c r="Z28" s="7">
        <f t="shared" si="7"/>
        <v>-0.49278778890816499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1009.06</v>
      </c>
      <c r="E29" s="3"/>
      <c r="F29" s="7">
        <f t="shared" si="0"/>
        <v>8.2709307268363369E-3</v>
      </c>
      <c r="G29" s="3"/>
      <c r="H29" s="8">
        <v>1440.4</v>
      </c>
      <c r="I29" s="3"/>
      <c r="J29" s="7">
        <f t="shared" si="1"/>
        <v>0</v>
      </c>
      <c r="K29" s="3"/>
      <c r="L29" s="8">
        <f t="shared" si="2"/>
        <v>-431.34000000000015</v>
      </c>
      <c r="M29" s="3"/>
      <c r="N29" s="7">
        <f t="shared" si="3"/>
        <v>-0.29945848375451273</v>
      </c>
      <c r="O29" s="12"/>
      <c r="P29" s="8">
        <v>9934.98</v>
      </c>
      <c r="Q29" s="3"/>
      <c r="R29" s="7">
        <f t="shared" si="4"/>
        <v>2.2502964349660756E-2</v>
      </c>
      <c r="S29" s="3"/>
      <c r="T29" s="8">
        <v>11657.88</v>
      </c>
      <c r="U29" s="3"/>
      <c r="V29" s="7">
        <f t="shared" si="5"/>
        <v>0.25828512685080768</v>
      </c>
      <c r="W29" s="3"/>
      <c r="X29" s="8">
        <f t="shared" si="6"/>
        <v>-1722.8999999999996</v>
      </c>
      <c r="Y29" s="3"/>
      <c r="Z29" s="7">
        <f t="shared" si="7"/>
        <v>-0.1477884486716281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735.66</v>
      </c>
      <c r="E30" s="3"/>
      <c r="F30" s="7">
        <f t="shared" si="0"/>
        <v>6.0299614477874646E-3</v>
      </c>
      <c r="G30" s="3"/>
      <c r="H30" s="8">
        <v>872.28</v>
      </c>
      <c r="I30" s="3"/>
      <c r="J30" s="7">
        <f t="shared" si="1"/>
        <v>0</v>
      </c>
      <c r="K30" s="3"/>
      <c r="L30" s="8">
        <f t="shared" si="2"/>
        <v>-136.62</v>
      </c>
      <c r="M30" s="3"/>
      <c r="N30" s="7">
        <f t="shared" si="3"/>
        <v>-0.15662401981015273</v>
      </c>
      <c r="O30" s="12"/>
      <c r="P30" s="8">
        <v>8207.27</v>
      </c>
      <c r="Q30" s="3"/>
      <c r="R30" s="7">
        <f t="shared" si="4"/>
        <v>1.8589660393683757E-2</v>
      </c>
      <c r="S30" s="3"/>
      <c r="T30" s="8">
        <v>7329.16</v>
      </c>
      <c r="U30" s="3"/>
      <c r="V30" s="7">
        <f t="shared" si="5"/>
        <v>0.16238055463856771</v>
      </c>
      <c r="W30" s="3"/>
      <c r="X30" s="8">
        <f t="shared" si="6"/>
        <v>878.11000000000058</v>
      </c>
      <c r="Y30" s="3"/>
      <c r="Z30" s="7">
        <f t="shared" si="7"/>
        <v>0.11981045576846468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850.78</v>
      </c>
      <c r="E31" s="3"/>
      <c r="F31" s="7">
        <f t="shared" si="0"/>
        <v>6.9735619723087011E-3</v>
      </c>
      <c r="G31" s="3"/>
      <c r="H31" s="8">
        <v>196.24</v>
      </c>
      <c r="I31" s="3"/>
      <c r="J31" s="7">
        <f t="shared" si="1"/>
        <v>0</v>
      </c>
      <c r="K31" s="3"/>
      <c r="L31" s="8">
        <f t="shared" si="2"/>
        <v>654.54</v>
      </c>
      <c r="M31" s="3"/>
      <c r="N31" s="7">
        <f t="shared" si="3"/>
        <v>3.3354056257643698</v>
      </c>
      <c r="O31" s="12"/>
      <c r="P31" s="8">
        <v>5777.73</v>
      </c>
      <c r="Q31" s="3"/>
      <c r="R31" s="7">
        <f t="shared" si="4"/>
        <v>1.3086694911511189E-2</v>
      </c>
      <c r="S31" s="3"/>
      <c r="T31" s="8">
        <v>3285.43</v>
      </c>
      <c r="U31" s="3"/>
      <c r="V31" s="7">
        <f t="shared" si="5"/>
        <v>7.2790053106521008E-2</v>
      </c>
      <c r="W31" s="3"/>
      <c r="X31" s="8">
        <f t="shared" si="6"/>
        <v>2492.2999999999997</v>
      </c>
      <c r="Y31" s="3"/>
      <c r="Z31" s="7">
        <f t="shared" si="7"/>
        <v>0.75859172163156718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35242.61</v>
      </c>
      <c r="E32" s="2"/>
      <c r="F32" s="6">
        <f t="shared" si="0"/>
        <v>0.28887200557242337</v>
      </c>
      <c r="G32" s="2"/>
      <c r="H32" s="2">
        <f>SUM(OSRRefH22_1x_0)</f>
        <v>14775.8</v>
      </c>
      <c r="I32" s="2"/>
      <c r="J32" s="6">
        <f t="shared" si="1"/>
        <v>0</v>
      </c>
      <c r="K32" s="2"/>
      <c r="L32" s="2">
        <f t="shared" si="2"/>
        <v>20466.810000000001</v>
      </c>
      <c r="M32" s="2"/>
      <c r="N32" s="6">
        <f t="shared" si="3"/>
        <v>1.3851574872426538</v>
      </c>
      <c r="O32" s="14"/>
      <c r="P32" s="2">
        <f>SUM(OSRRefP22_1x_0)</f>
        <v>206509.66</v>
      </c>
      <c r="Q32" s="2"/>
      <c r="R32" s="6">
        <f t="shared" si="4"/>
        <v>0.46774925735538109</v>
      </c>
      <c r="S32" s="2"/>
      <c r="T32" s="2">
        <f>SUM(OSRRefT22_1x_0)</f>
        <v>138147.60999999999</v>
      </c>
      <c r="U32" s="2"/>
      <c r="V32" s="6">
        <f t="shared" si="5"/>
        <v>3.0607171263545263</v>
      </c>
      <c r="W32" s="2"/>
      <c r="X32" s="2">
        <f t="shared" si="6"/>
        <v>68362.050000000017</v>
      </c>
      <c r="Y32" s="2"/>
      <c r="Z32" s="6">
        <f t="shared" si="7"/>
        <v>0.49484786598914032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4987.99</v>
      </c>
      <c r="E33" s="3"/>
      <c r="F33" s="7">
        <f t="shared" si="0"/>
        <v>4.0884902539147699E-2</v>
      </c>
      <c r="G33" s="3"/>
      <c r="H33" s="8">
        <v>14166.5</v>
      </c>
      <c r="I33" s="3"/>
      <c r="J33" s="7">
        <f t="shared" si="1"/>
        <v>0</v>
      </c>
      <c r="K33" s="3"/>
      <c r="L33" s="8">
        <f t="shared" si="2"/>
        <v>-9178.51</v>
      </c>
      <c r="M33" s="3"/>
      <c r="N33" s="7">
        <f t="shared" si="3"/>
        <v>-0.64790244591112833</v>
      </c>
      <c r="O33" s="12"/>
      <c r="P33" s="8">
        <v>69118.149999999994</v>
      </c>
      <c r="Q33" s="3"/>
      <c r="R33" s="7">
        <f t="shared" si="4"/>
        <v>0.15655424221936073</v>
      </c>
      <c r="S33" s="3"/>
      <c r="T33" s="8">
        <v>113390.81</v>
      </c>
      <c r="U33" s="3"/>
      <c r="V33" s="7">
        <f t="shared" si="5"/>
        <v>2.5122200386833482</v>
      </c>
      <c r="W33" s="3"/>
      <c r="X33" s="8">
        <f t="shared" si="6"/>
        <v>-44272.66</v>
      </c>
      <c r="Y33" s="3"/>
      <c r="Z33" s="7">
        <f t="shared" si="7"/>
        <v>-0.39044310557442885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12187.4</v>
      </c>
      <c r="E34" s="3"/>
      <c r="F34" s="7">
        <f t="shared" si="0"/>
        <v>9.9896082631602851E-2</v>
      </c>
      <c r="G34" s="3"/>
      <c r="H34" s="8">
        <v>284.3</v>
      </c>
      <c r="I34" s="3"/>
      <c r="J34" s="7">
        <f t="shared" si="1"/>
        <v>0</v>
      </c>
      <c r="K34" s="3"/>
      <c r="L34" s="8">
        <f t="shared" si="2"/>
        <v>11903.1</v>
      </c>
      <c r="M34" s="3"/>
      <c r="N34" s="7">
        <f t="shared" si="3"/>
        <v>41.868097080548715</v>
      </c>
      <c r="O34" s="12"/>
      <c r="P34" s="8">
        <v>48787.360000000001</v>
      </c>
      <c r="Q34" s="3"/>
      <c r="R34" s="7">
        <f t="shared" si="4"/>
        <v>0.11050452268591031</v>
      </c>
      <c r="S34" s="3"/>
      <c r="T34" s="8">
        <v>21769.38</v>
      </c>
      <c r="U34" s="3"/>
      <c r="V34" s="7">
        <f t="shared" si="5"/>
        <v>0.48230956870060732</v>
      </c>
      <c r="W34" s="3"/>
      <c r="X34" s="8">
        <f t="shared" si="6"/>
        <v>27017.98</v>
      </c>
      <c r="Y34" s="3"/>
      <c r="Z34" s="7">
        <f t="shared" si="7"/>
        <v>1.2411001140133526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10745.48</v>
      </c>
      <c r="E35" s="3"/>
      <c r="F35" s="7">
        <f t="shared" si="0"/>
        <v>8.8077141801880282E-2</v>
      </c>
      <c r="G35" s="3"/>
      <c r="H35" s="8"/>
      <c r="I35" s="3"/>
      <c r="J35" s="7">
        <f t="shared" si="1"/>
        <v>0</v>
      </c>
      <c r="K35" s="3"/>
      <c r="L35" s="8">
        <f t="shared" si="2"/>
        <v>10745.48</v>
      </c>
      <c r="M35" s="3"/>
      <c r="N35" s="7">
        <f t="shared" si="3"/>
        <v>0</v>
      </c>
      <c r="O35" s="12"/>
      <c r="P35" s="8">
        <v>52262.83</v>
      </c>
      <c r="Q35" s="3"/>
      <c r="R35" s="7">
        <f t="shared" si="4"/>
        <v>0.11837654432141592</v>
      </c>
      <c r="S35" s="3"/>
      <c r="T35" s="8">
        <v>2431.71</v>
      </c>
      <c r="U35" s="3"/>
      <c r="V35" s="7">
        <f t="shared" si="5"/>
        <v>5.3875535330126713E-2</v>
      </c>
      <c r="W35" s="3"/>
      <c r="X35" s="8">
        <f t="shared" si="6"/>
        <v>49831.12</v>
      </c>
      <c r="Y35" s="3"/>
      <c r="Z35" s="7">
        <f t="shared" si="7"/>
        <v>20.492213298460754</v>
      </c>
    </row>
    <row r="36" spans="1:26" s="69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6180.14</v>
      </c>
      <c r="E36" s="3"/>
      <c r="F36" s="7">
        <f t="shared" si="0"/>
        <v>5.0656561376083008E-2</v>
      </c>
      <c r="G36" s="3"/>
      <c r="H36" s="8">
        <v>325</v>
      </c>
      <c r="I36" s="3"/>
      <c r="J36" s="7">
        <f t="shared" si="1"/>
        <v>0</v>
      </c>
      <c r="K36" s="3"/>
      <c r="L36" s="8">
        <f t="shared" si="2"/>
        <v>5855.14</v>
      </c>
      <c r="M36" s="3"/>
      <c r="N36" s="7">
        <f t="shared" si="3"/>
        <v>18.015815384615387</v>
      </c>
      <c r="O36" s="12"/>
      <c r="P36" s="8">
        <v>35199.72</v>
      </c>
      <c r="Q36" s="3"/>
      <c r="R36" s="7">
        <f t="shared" si="4"/>
        <v>7.9728197165775949E-2</v>
      </c>
      <c r="S36" s="3"/>
      <c r="T36" s="8">
        <v>555.71</v>
      </c>
      <c r="U36" s="3"/>
      <c r="V36" s="7">
        <f t="shared" si="5"/>
        <v>1.2311983640444262E-2</v>
      </c>
      <c r="W36" s="3"/>
      <c r="X36" s="8">
        <f t="shared" si="6"/>
        <v>34644.01</v>
      </c>
      <c r="Y36" s="3"/>
      <c r="Z36" s="7">
        <f t="shared" si="7"/>
        <v>62.341886955426389</v>
      </c>
    </row>
    <row r="37" spans="1:26" s="69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>
        <v>1141.5999999999999</v>
      </c>
      <c r="E37" s="3"/>
      <c r="F37" s="7">
        <f t="shared" si="0"/>
        <v>9.357317223709553E-3</v>
      </c>
      <c r="G37" s="3"/>
      <c r="H37" s="8"/>
      <c r="I37" s="3"/>
      <c r="J37" s="7">
        <f t="shared" si="1"/>
        <v>0</v>
      </c>
      <c r="K37" s="3"/>
      <c r="L37" s="8">
        <f t="shared" si="2"/>
        <v>1141.5999999999999</v>
      </c>
      <c r="M37" s="3"/>
      <c r="N37" s="7">
        <f t="shared" si="3"/>
        <v>0</v>
      </c>
      <c r="O37" s="12"/>
      <c r="P37" s="8">
        <v>1141.5999999999999</v>
      </c>
      <c r="Q37" s="3"/>
      <c r="R37" s="7">
        <f t="shared" si="4"/>
        <v>2.5857509629181657E-3</v>
      </c>
      <c r="S37" s="3"/>
      <c r="T37" s="8"/>
      <c r="U37" s="3"/>
      <c r="V37" s="7">
        <f t="shared" si="5"/>
        <v>0</v>
      </c>
      <c r="W37" s="3"/>
      <c r="X37" s="8">
        <f t="shared" si="6"/>
        <v>1141.5999999999999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","Advertising/Promo                                 ")</f>
        <v xml:space="preserve">     Advertising/Promo                                 </v>
      </c>
      <c r="C38" s="14"/>
      <c r="D38" s="2">
        <f>SUM(OSRRefD22_2x_0)</f>
        <v>135.91</v>
      </c>
      <c r="E38" s="2"/>
      <c r="F38" s="6">
        <f t="shared" si="0"/>
        <v>1.1140092710882669E-3</v>
      </c>
      <c r="G38" s="2"/>
      <c r="H38" s="2">
        <f>SUM(OSRRefH22_2x_0)</f>
        <v>-5.35</v>
      </c>
      <c r="I38" s="2"/>
      <c r="J38" s="6">
        <f t="shared" si="1"/>
        <v>0</v>
      </c>
      <c r="K38" s="2"/>
      <c r="L38" s="2">
        <f t="shared" si="2"/>
        <v>141.26</v>
      </c>
      <c r="M38" s="2"/>
      <c r="N38" s="6">
        <f t="shared" si="3"/>
        <v>-26.403738317757011</v>
      </c>
      <c r="O38" s="14"/>
      <c r="P38" s="2">
        <f>SUM(OSRRefP22_2x_0)</f>
        <v>806.65</v>
      </c>
      <c r="Q38" s="2"/>
      <c r="R38" s="6">
        <f t="shared" si="4"/>
        <v>1.8270813018902755E-3</v>
      </c>
      <c r="S38" s="2"/>
      <c r="T38" s="2">
        <f>SUM(OSRRefT22_2x_0)</f>
        <v>134</v>
      </c>
      <c r="U38" s="2"/>
      <c r="V38" s="6">
        <f t="shared" si="5"/>
        <v>2.9688251206916034E-3</v>
      </c>
      <c r="W38" s="2"/>
      <c r="X38" s="2">
        <f t="shared" si="6"/>
        <v>672.65</v>
      </c>
      <c r="Y38" s="2"/>
      <c r="Z38" s="6">
        <f t="shared" si="7"/>
        <v>5.0197761194029846</v>
      </c>
    </row>
    <row r="39" spans="1:26" s="69" customFormat="1" ht="15" hidden="1" customHeight="1" outlineLevel="2" x14ac:dyDescent="0.3">
      <c r="A39" s="26"/>
      <c r="B39" s="12" t="str">
        <f>CONCATENATE("          ","6362"," - ","ADVERTISING EXPENSE")</f>
        <v xml:space="preserve">          6362 - ADVERTISING EXPENSE</v>
      </c>
      <c r="C39" s="12"/>
      <c r="D39" s="8">
        <v>135.91</v>
      </c>
      <c r="E39" s="3"/>
      <c r="F39" s="7">
        <f t="shared" si="0"/>
        <v>1.1140092710882669E-3</v>
      </c>
      <c r="G39" s="3"/>
      <c r="H39" s="8">
        <v>-5.35</v>
      </c>
      <c r="I39" s="3"/>
      <c r="J39" s="7">
        <f t="shared" si="1"/>
        <v>0</v>
      </c>
      <c r="K39" s="3"/>
      <c r="L39" s="8">
        <f t="shared" si="2"/>
        <v>141.26</v>
      </c>
      <c r="M39" s="3"/>
      <c r="N39" s="7">
        <f t="shared" si="3"/>
        <v>-26.403738317757011</v>
      </c>
      <c r="O39" s="12"/>
      <c r="P39" s="8">
        <v>806.65</v>
      </c>
      <c r="Q39" s="3"/>
      <c r="R39" s="7">
        <f t="shared" si="4"/>
        <v>1.8270813018902755E-3</v>
      </c>
      <c r="S39" s="3"/>
      <c r="T39" s="8">
        <v>134</v>
      </c>
      <c r="U39" s="3"/>
      <c r="V39" s="7">
        <f t="shared" si="5"/>
        <v>2.9688251206916034E-3</v>
      </c>
      <c r="W39" s="3"/>
      <c r="X39" s="8">
        <f t="shared" si="6"/>
        <v>672.65</v>
      </c>
      <c r="Y39" s="3"/>
      <c r="Z39" s="7">
        <f t="shared" si="7"/>
        <v>5.0197761194029846</v>
      </c>
    </row>
    <row r="40" spans="1:26" s="68" customFormat="1" ht="15" customHeight="1" outlineLevel="1" collapsed="1" x14ac:dyDescent="0.3">
      <c r="A40" s="25"/>
      <c r="B40" s="14" t="str">
        <f>CONCATENATE("     ","Bad Debts/Over/Short                              ")</f>
        <v xml:space="preserve">     Bad Debts/Over/Short                              </v>
      </c>
      <c r="C40" s="14"/>
      <c r="D40" s="2">
        <f>SUM(OSRRefD22_3x_0)</f>
        <v>-18.28</v>
      </c>
      <c r="E40" s="2"/>
      <c r="F40" s="6">
        <f t="shared" si="0"/>
        <v>-1.4983510761160709E-4</v>
      </c>
      <c r="G40" s="2"/>
      <c r="H40" s="2">
        <f>SUM(OSRRefH22_3x_0)</f>
        <v>0</v>
      </c>
      <c r="I40" s="2"/>
      <c r="J40" s="6">
        <f t="shared" si="1"/>
        <v>0</v>
      </c>
      <c r="K40" s="2"/>
      <c r="L40" s="2">
        <f t="shared" si="2"/>
        <v>-18.28</v>
      </c>
      <c r="M40" s="2"/>
      <c r="N40" s="6">
        <f t="shared" si="3"/>
        <v>0</v>
      </c>
      <c r="O40" s="14"/>
      <c r="P40" s="2">
        <f>SUM(OSRRefP22_3x_0)</f>
        <v>-17.02</v>
      </c>
      <c r="Q40" s="2"/>
      <c r="R40" s="6">
        <f t="shared" si="4"/>
        <v>-3.8550701987444975E-5</v>
      </c>
      <c r="S40" s="2"/>
      <c r="T40" s="2">
        <f>SUM(OSRRefT22_3x_0)</f>
        <v>8.7899999999999991</v>
      </c>
      <c r="U40" s="2"/>
      <c r="V40" s="6">
        <f t="shared" si="5"/>
        <v>1.9474606575282978E-4</v>
      </c>
      <c r="W40" s="2"/>
      <c r="X40" s="2">
        <f t="shared" si="6"/>
        <v>-25.81</v>
      </c>
      <c r="Y40" s="2"/>
      <c r="Z40" s="6">
        <f t="shared" si="7"/>
        <v>-2.9362912400455063</v>
      </c>
    </row>
    <row r="41" spans="1:26" s="69" customFormat="1" ht="15" hidden="1" customHeight="1" outlineLevel="2" x14ac:dyDescent="0.3">
      <c r="A41" s="26"/>
      <c r="B41" s="12" t="str">
        <f>CONCATENATE("          ","6272"," - ","CASH (OVER/SHORT)")</f>
        <v xml:space="preserve">          6272 - CASH (OVER/SHORT)</v>
      </c>
      <c r="C41" s="12"/>
      <c r="D41" s="8">
        <v>-18.28</v>
      </c>
      <c r="E41" s="3"/>
      <c r="F41" s="7">
        <f t="shared" si="0"/>
        <v>-1.4983510761160709E-4</v>
      </c>
      <c r="G41" s="3"/>
      <c r="H41" s="8"/>
      <c r="I41" s="3"/>
      <c r="J41" s="7">
        <f t="shared" si="1"/>
        <v>0</v>
      </c>
      <c r="K41" s="3"/>
      <c r="L41" s="8">
        <f t="shared" si="2"/>
        <v>-18.28</v>
      </c>
      <c r="M41" s="3"/>
      <c r="N41" s="7">
        <f t="shared" si="3"/>
        <v>0</v>
      </c>
      <c r="O41" s="12"/>
      <c r="P41" s="8">
        <v>-17.02</v>
      </c>
      <c r="Q41" s="3"/>
      <c r="R41" s="7">
        <f t="shared" si="4"/>
        <v>-3.8550701987444975E-5</v>
      </c>
      <c r="S41" s="3"/>
      <c r="T41" s="8">
        <v>8.7899999999999991</v>
      </c>
      <c r="U41" s="3"/>
      <c r="V41" s="7">
        <f t="shared" si="5"/>
        <v>1.9474606575282978E-4</v>
      </c>
      <c r="W41" s="3"/>
      <c r="X41" s="8">
        <f t="shared" si="6"/>
        <v>-25.81</v>
      </c>
      <c r="Y41" s="3"/>
      <c r="Z41" s="7">
        <f t="shared" si="7"/>
        <v>-2.9362912400455063</v>
      </c>
    </row>
    <row r="42" spans="1:26" s="68" customFormat="1" ht="15" customHeight="1" outlineLevel="1" collapsed="1" x14ac:dyDescent="0.3">
      <c r="A42" s="25"/>
      <c r="B42" s="14" t="str">
        <f>CONCATENATE("     ","Bank/card Fees                                    ")</f>
        <v xml:space="preserve">     Bank/card Fees                                    </v>
      </c>
      <c r="C42" s="14"/>
      <c r="D42" s="2">
        <f>SUM(OSRRefD22_4x_0)</f>
        <v>2976.4</v>
      </c>
      <c r="E42" s="2"/>
      <c r="F42" s="6">
        <f t="shared" si="0"/>
        <v>2.4396565333434754E-2</v>
      </c>
      <c r="G42" s="2"/>
      <c r="H42" s="2">
        <f>SUM(OSRRefH22_4x_0)</f>
        <v>74.95</v>
      </c>
      <c r="I42" s="2"/>
      <c r="J42" s="6">
        <f t="shared" si="1"/>
        <v>0</v>
      </c>
      <c r="K42" s="2"/>
      <c r="L42" s="2">
        <f t="shared" si="2"/>
        <v>2901.4500000000003</v>
      </c>
      <c r="M42" s="2"/>
      <c r="N42" s="6">
        <f t="shared" si="3"/>
        <v>38.711807871914608</v>
      </c>
      <c r="O42" s="14"/>
      <c r="P42" s="2">
        <f>SUM(OSRRefP22_4x_0)</f>
        <v>14424.31</v>
      </c>
      <c r="Q42" s="2"/>
      <c r="R42" s="6">
        <f t="shared" si="4"/>
        <v>3.267140283105302E-2</v>
      </c>
      <c r="S42" s="2"/>
      <c r="T42" s="2">
        <f>SUM(OSRRefT22_4x_0)</f>
        <v>1320.9</v>
      </c>
      <c r="U42" s="2"/>
      <c r="V42" s="6">
        <f t="shared" si="5"/>
        <v>2.9265082850160742E-2</v>
      </c>
      <c r="W42" s="2"/>
      <c r="X42" s="2">
        <f t="shared" si="6"/>
        <v>13103.41</v>
      </c>
      <c r="Y42" s="2"/>
      <c r="Z42" s="6">
        <f t="shared" si="7"/>
        <v>9.9200620788856071</v>
      </c>
    </row>
    <row r="43" spans="1:26" s="69" customFormat="1" ht="15" hidden="1" customHeight="1" outlineLevel="2" x14ac:dyDescent="0.3">
      <c r="A43" s="26"/>
      <c r="B43" s="12" t="str">
        <f>CONCATENATE("          ","6381"," - ","BANK/CREDIT CARD FEES")</f>
        <v xml:space="preserve">          6381 - BANK/CREDIT CARD FEES</v>
      </c>
      <c r="C43" s="12"/>
      <c r="D43" s="8">
        <v>2976.4</v>
      </c>
      <c r="E43" s="3"/>
      <c r="F43" s="7">
        <f t="shared" si="0"/>
        <v>2.4396565333434754E-2</v>
      </c>
      <c r="G43" s="3"/>
      <c r="H43" s="8">
        <v>74.95</v>
      </c>
      <c r="I43" s="3"/>
      <c r="J43" s="7">
        <f t="shared" si="1"/>
        <v>0</v>
      </c>
      <c r="K43" s="3"/>
      <c r="L43" s="8">
        <f t="shared" si="2"/>
        <v>2901.4500000000003</v>
      </c>
      <c r="M43" s="3"/>
      <c r="N43" s="7">
        <f t="shared" si="3"/>
        <v>38.711807871914608</v>
      </c>
      <c r="O43" s="12"/>
      <c r="P43" s="8">
        <v>14424.31</v>
      </c>
      <c r="Q43" s="3"/>
      <c r="R43" s="7">
        <f t="shared" si="4"/>
        <v>3.267140283105302E-2</v>
      </c>
      <c r="S43" s="3"/>
      <c r="T43" s="8">
        <v>1320.9</v>
      </c>
      <c r="U43" s="3"/>
      <c r="V43" s="7">
        <f t="shared" si="5"/>
        <v>2.9265082850160742E-2</v>
      </c>
      <c r="W43" s="3"/>
      <c r="X43" s="8">
        <f t="shared" si="6"/>
        <v>13103.41</v>
      </c>
      <c r="Y43" s="3"/>
      <c r="Z43" s="7">
        <f t="shared" si="7"/>
        <v>9.9200620788856071</v>
      </c>
    </row>
    <row r="44" spans="1:26" s="68" customFormat="1" ht="15" customHeight="1" outlineLevel="1" collapsed="1" x14ac:dyDescent="0.3">
      <c r="A44" s="25"/>
      <c r="B44" s="14" t="str">
        <f>CONCATENATE("     ","Depreciation                                      ")</f>
        <v xml:space="preserve">     Depreciation                                      </v>
      </c>
      <c r="C44" s="14"/>
      <c r="D44" s="2">
        <f>SUM(OSRRefD22_5x_0)</f>
        <v>14007.34</v>
      </c>
      <c r="E44" s="2"/>
      <c r="F44" s="6">
        <f t="shared" si="0"/>
        <v>0.11481352824137682</v>
      </c>
      <c r="G44" s="2"/>
      <c r="H44" s="2">
        <f>SUM(OSRRefH22_5x_0)</f>
        <v>13902.32</v>
      </c>
      <c r="I44" s="2"/>
      <c r="J44" s="6">
        <f t="shared" si="1"/>
        <v>0</v>
      </c>
      <c r="K44" s="2"/>
      <c r="L44" s="2">
        <f t="shared" si="2"/>
        <v>105.02000000000044</v>
      </c>
      <c r="M44" s="2"/>
      <c r="N44" s="6">
        <f t="shared" si="3"/>
        <v>7.5541348494352336E-3</v>
      </c>
      <c r="O44" s="14"/>
      <c r="P44" s="2">
        <f>SUM(OSRRefP22_5x_0)</f>
        <v>112058.72</v>
      </c>
      <c r="Q44" s="2"/>
      <c r="R44" s="6">
        <f t="shared" si="4"/>
        <v>0.25381564746266394</v>
      </c>
      <c r="S44" s="2"/>
      <c r="T44" s="2">
        <f>SUM(OSRRefT22_5x_0)</f>
        <v>111183.84</v>
      </c>
      <c r="U44" s="2"/>
      <c r="V44" s="6">
        <f t="shared" si="5"/>
        <v>2.463323710499671</v>
      </c>
      <c r="W44" s="2"/>
      <c r="X44" s="2">
        <f t="shared" si="6"/>
        <v>874.88000000000466</v>
      </c>
      <c r="Y44" s="2"/>
      <c r="Z44" s="6">
        <f t="shared" si="7"/>
        <v>7.8687694182896072E-3</v>
      </c>
    </row>
    <row r="45" spans="1:26" s="69" customFormat="1" ht="15" hidden="1" customHeight="1" outlineLevel="2" x14ac:dyDescent="0.3">
      <c r="A45" s="26"/>
      <c r="B45" s="12" t="str">
        <f>CONCATENATE("          ","6321"," - ","BUILDING DEPRECIATION")</f>
        <v xml:space="preserve">          6321 - BUILDING DEPRECIATION</v>
      </c>
      <c r="C45" s="12"/>
      <c r="D45" s="8">
        <v>10597.26</v>
      </c>
      <c r="E45" s="3"/>
      <c r="F45" s="7">
        <f t="shared" si="0"/>
        <v>8.6862231536552467E-2</v>
      </c>
      <c r="G45" s="3"/>
      <c r="H45" s="8">
        <v>10597.26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84778.08</v>
      </c>
      <c r="Q45" s="3"/>
      <c r="R45" s="7">
        <f t="shared" si="4"/>
        <v>0.19202435353394648</v>
      </c>
      <c r="S45" s="3"/>
      <c r="T45" s="8">
        <v>84778.08</v>
      </c>
      <c r="U45" s="3"/>
      <c r="V45" s="7">
        <f t="shared" si="5"/>
        <v>1.8782932357313613</v>
      </c>
      <c r="W45" s="3"/>
      <c r="X45" s="8">
        <f t="shared" si="6"/>
        <v>0</v>
      </c>
      <c r="Y45" s="3"/>
      <c r="Z45" s="7">
        <f t="shared" si="7"/>
        <v>0</v>
      </c>
    </row>
    <row r="46" spans="1:26" s="69" customFormat="1" ht="15" hidden="1" customHeight="1" outlineLevel="2" x14ac:dyDescent="0.3">
      <c r="A46" s="26"/>
      <c r="B46" s="12" t="str">
        <f>CONCATENATE("          ","6322"," - ","EQUIPMENT DEPRECIATION EXPENSE")</f>
        <v xml:space="preserve">          6322 - EQUIPMENT DEPRECIATION EXPENSE</v>
      </c>
      <c r="C46" s="12"/>
      <c r="D46" s="8">
        <v>3410.08</v>
      </c>
      <c r="E46" s="3"/>
      <c r="F46" s="7">
        <f t="shared" si="0"/>
        <v>2.7951296704824345E-2</v>
      </c>
      <c r="G46" s="3"/>
      <c r="H46" s="8">
        <v>3305.06</v>
      </c>
      <c r="I46" s="3"/>
      <c r="J46" s="7">
        <f t="shared" si="1"/>
        <v>0</v>
      </c>
      <c r="K46" s="3"/>
      <c r="L46" s="8">
        <f t="shared" si="2"/>
        <v>105.01999999999998</v>
      </c>
      <c r="M46" s="3"/>
      <c r="N46" s="7">
        <f t="shared" si="3"/>
        <v>3.177551996030329E-2</v>
      </c>
      <c r="O46" s="12"/>
      <c r="P46" s="8">
        <v>27280.639999999999</v>
      </c>
      <c r="Q46" s="3"/>
      <c r="R46" s="7">
        <f t="shared" si="4"/>
        <v>6.179129392871744E-2</v>
      </c>
      <c r="S46" s="3"/>
      <c r="T46" s="8">
        <v>26405.759999999998</v>
      </c>
      <c r="U46" s="3"/>
      <c r="V46" s="7">
        <f t="shared" si="5"/>
        <v>0.58503047476830983</v>
      </c>
      <c r="W46" s="3"/>
      <c r="X46" s="8">
        <f t="shared" si="6"/>
        <v>874.88000000000102</v>
      </c>
      <c r="Y46" s="3"/>
      <c r="Z46" s="7">
        <f t="shared" si="7"/>
        <v>3.3132165103371428E-2</v>
      </c>
    </row>
    <row r="47" spans="1:26" s="68" customFormat="1" ht="15" customHeight="1" outlineLevel="1" collapsed="1" x14ac:dyDescent="0.3">
      <c r="A47" s="25"/>
      <c r="B47" s="14" t="str">
        <f>CONCATENATE("     ","Employees' Appreciation                           ")</f>
        <v xml:space="preserve">     Employees' Appreciation                           </v>
      </c>
      <c r="C47" s="14"/>
      <c r="D47" s="2">
        <f>SUM(OSRRefD22_6x_0)</f>
        <v>0</v>
      </c>
      <c r="E47" s="2"/>
      <c r="F47" s="6">
        <f t="shared" si="0"/>
        <v>0</v>
      </c>
      <c r="G47" s="2"/>
      <c r="H47" s="2">
        <f>SUM(OSRRefH22_6x_0)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SUM(OSRRefP22_6x_0)</f>
        <v>0</v>
      </c>
      <c r="Q47" s="2"/>
      <c r="R47" s="6">
        <f t="shared" si="4"/>
        <v>0</v>
      </c>
      <c r="S47" s="2"/>
      <c r="T47" s="2">
        <f>SUM(OSRRefT22_6x_0)</f>
        <v>10</v>
      </c>
      <c r="U47" s="2"/>
      <c r="V47" s="6">
        <f t="shared" si="5"/>
        <v>2.2155411348444802E-4</v>
      </c>
      <c r="W47" s="2"/>
      <c r="X47" s="2">
        <f t="shared" si="6"/>
        <v>-10</v>
      </c>
      <c r="Y47" s="2"/>
      <c r="Z47" s="6">
        <f t="shared" si="7"/>
        <v>-1</v>
      </c>
    </row>
    <row r="48" spans="1:26" s="69" customFormat="1" ht="15" hidden="1" customHeight="1" outlineLevel="2" x14ac:dyDescent="0.3">
      <c r="A48" s="26"/>
      <c r="B48" s="12" t="str">
        <f>CONCATENATE("          ","6277"," - ","EMPLOYEE APPRECIATION")</f>
        <v xml:space="preserve">          6277 - EMPLOYEE APPRECIATION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/>
      <c r="Q48" s="3"/>
      <c r="R48" s="7">
        <f t="shared" si="4"/>
        <v>0</v>
      </c>
      <c r="S48" s="3"/>
      <c r="T48" s="8">
        <v>10</v>
      </c>
      <c r="U48" s="3"/>
      <c r="V48" s="7">
        <f t="shared" si="5"/>
        <v>2.2155411348444802E-4</v>
      </c>
      <c r="W48" s="3"/>
      <c r="X48" s="8">
        <f t="shared" si="6"/>
        <v>-10</v>
      </c>
      <c r="Y48" s="3"/>
      <c r="Z48" s="7">
        <f t="shared" si="7"/>
        <v>-1</v>
      </c>
    </row>
    <row r="49" spans="1:26" s="68" customFormat="1" ht="15" customHeight="1" outlineLevel="1" collapsed="1" x14ac:dyDescent="0.3">
      <c r="A49" s="25"/>
      <c r="B49" s="14" t="str">
        <f>CONCATENATE("     ","Equipment Rental                                  ")</f>
        <v xml:space="preserve">     Equipment Rental                                  </v>
      </c>
      <c r="C49" s="14"/>
      <c r="D49" s="2">
        <f>SUM(OSRRefD22_7x_0)</f>
        <v>456.12</v>
      </c>
      <c r="E49" s="2"/>
      <c r="F49" s="6">
        <f t="shared" si="0"/>
        <v>3.7386646216524188E-3</v>
      </c>
      <c r="G49" s="2"/>
      <c r="H49" s="2">
        <f>SUM(OSRRefH22_7x_0)</f>
        <v>255.55</v>
      </c>
      <c r="I49" s="2"/>
      <c r="J49" s="6">
        <f t="shared" si="1"/>
        <v>0</v>
      </c>
      <c r="K49" s="2"/>
      <c r="L49" s="2">
        <f t="shared" si="2"/>
        <v>200.57</v>
      </c>
      <c r="M49" s="2"/>
      <c r="N49" s="6">
        <f t="shared" si="3"/>
        <v>0.78485619252592442</v>
      </c>
      <c r="O49" s="14"/>
      <c r="P49" s="2">
        <f>SUM(OSRRefP22_7x_0)</f>
        <v>2466.17</v>
      </c>
      <c r="Q49" s="2"/>
      <c r="R49" s="6">
        <f t="shared" si="4"/>
        <v>5.5859332973194576E-3</v>
      </c>
      <c r="S49" s="2"/>
      <c r="T49" s="2">
        <f>SUM(OSRRefT22_7x_0)</f>
        <v>1255.6199999999999</v>
      </c>
      <c r="U49" s="2"/>
      <c r="V49" s="6">
        <f t="shared" si="5"/>
        <v>2.7818777597334261E-2</v>
      </c>
      <c r="W49" s="2"/>
      <c r="X49" s="2">
        <f t="shared" si="6"/>
        <v>1210.5500000000002</v>
      </c>
      <c r="Y49" s="2"/>
      <c r="Z49" s="6">
        <f t="shared" si="7"/>
        <v>0.96410538220162179</v>
      </c>
    </row>
    <row r="50" spans="1:26" s="69" customFormat="1" ht="15" hidden="1" customHeight="1" outlineLevel="2" x14ac:dyDescent="0.3">
      <c r="A50" s="26"/>
      <c r="B50" s="12" t="str">
        <f>CONCATENATE("          ","6351"," - ","EQUIPMENT RENTAL")</f>
        <v xml:space="preserve">          6351 - EQUIPMENT RENTAL</v>
      </c>
      <c r="C50" s="12"/>
      <c r="D50" s="8">
        <v>456.12</v>
      </c>
      <c r="E50" s="3"/>
      <c r="F50" s="7">
        <f t="shared" si="0"/>
        <v>3.7386646216524188E-3</v>
      </c>
      <c r="G50" s="3"/>
      <c r="H50" s="8">
        <v>255.55</v>
      </c>
      <c r="I50" s="3"/>
      <c r="J50" s="7">
        <f t="shared" si="1"/>
        <v>0</v>
      </c>
      <c r="K50" s="3"/>
      <c r="L50" s="8">
        <f t="shared" si="2"/>
        <v>200.57</v>
      </c>
      <c r="M50" s="3"/>
      <c r="N50" s="7">
        <f t="shared" si="3"/>
        <v>0.78485619252592442</v>
      </c>
      <c r="O50" s="12"/>
      <c r="P50" s="8">
        <v>2466.17</v>
      </c>
      <c r="Q50" s="3"/>
      <c r="R50" s="7">
        <f t="shared" si="4"/>
        <v>5.5859332973194576E-3</v>
      </c>
      <c r="S50" s="3"/>
      <c r="T50" s="8">
        <v>1255.6199999999999</v>
      </c>
      <c r="U50" s="3"/>
      <c r="V50" s="7">
        <f t="shared" si="5"/>
        <v>2.7818777597334261E-2</v>
      </c>
      <c r="W50" s="3"/>
      <c r="X50" s="8">
        <f t="shared" si="6"/>
        <v>1210.5500000000002</v>
      </c>
      <c r="Y50" s="3"/>
      <c r="Z50" s="7">
        <f t="shared" si="7"/>
        <v>0.96410538220162179</v>
      </c>
    </row>
    <row r="51" spans="1:26" s="68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SUM(OSRRefD22_8x_0)</f>
        <v>0</v>
      </c>
      <c r="E51" s="2"/>
      <c r="F51" s="6">
        <f t="shared" si="0"/>
        <v>0</v>
      </c>
      <c r="G51" s="2"/>
      <c r="H51" s="2">
        <f>SUM(OSRRefH22_8x_0)</f>
        <v>88.62</v>
      </c>
      <c r="I51" s="2"/>
      <c r="J51" s="6">
        <f t="shared" si="1"/>
        <v>0</v>
      </c>
      <c r="K51" s="2"/>
      <c r="L51" s="2">
        <f t="shared" si="2"/>
        <v>-88.62</v>
      </c>
      <c r="M51" s="2"/>
      <c r="N51" s="6">
        <f t="shared" si="3"/>
        <v>-1</v>
      </c>
      <c r="O51" s="14"/>
      <c r="P51" s="2">
        <f>SUM(OSRRefP22_8x_0)</f>
        <v>1520.97</v>
      </c>
      <c r="Q51" s="2"/>
      <c r="R51" s="6">
        <f t="shared" si="4"/>
        <v>3.4450329730813267E-3</v>
      </c>
      <c r="S51" s="2"/>
      <c r="T51" s="2">
        <f>SUM(OSRRefT22_8x_0)</f>
        <v>2498.69</v>
      </c>
      <c r="U51" s="2"/>
      <c r="V51" s="6">
        <f t="shared" si="5"/>
        <v>5.5359504782245543E-2</v>
      </c>
      <c r="W51" s="2"/>
      <c r="X51" s="2">
        <f t="shared" si="6"/>
        <v>-977.72</v>
      </c>
      <c r="Y51" s="2"/>
      <c r="Z51" s="6">
        <f t="shared" si="7"/>
        <v>-0.3912930375516771</v>
      </c>
    </row>
    <row r="52" spans="1:26" s="69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0"/>
        <v>0</v>
      </c>
      <c r="G52" s="3"/>
      <c r="H52" s="8">
        <v>88.62</v>
      </c>
      <c r="I52" s="3"/>
      <c r="J52" s="7">
        <f t="shared" si="1"/>
        <v>0</v>
      </c>
      <c r="K52" s="3"/>
      <c r="L52" s="8">
        <f t="shared" si="2"/>
        <v>-88.62</v>
      </c>
      <c r="M52" s="3"/>
      <c r="N52" s="7">
        <f t="shared" si="3"/>
        <v>-1</v>
      </c>
      <c r="O52" s="12"/>
      <c r="P52" s="8">
        <v>1520.97</v>
      </c>
      <c r="Q52" s="3"/>
      <c r="R52" s="7">
        <f t="shared" si="4"/>
        <v>3.4450329730813267E-3</v>
      </c>
      <c r="S52" s="3"/>
      <c r="T52" s="8">
        <v>2498.69</v>
      </c>
      <c r="U52" s="3"/>
      <c r="V52" s="7">
        <f t="shared" si="5"/>
        <v>5.5359504782245543E-2</v>
      </c>
      <c r="W52" s="3"/>
      <c r="X52" s="8">
        <f t="shared" si="6"/>
        <v>-977.72</v>
      </c>
      <c r="Y52" s="3"/>
      <c r="Z52" s="7">
        <f t="shared" si="7"/>
        <v>-0.3912930375516771</v>
      </c>
    </row>
    <row r="53" spans="1:26" s="68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SUM(OSRRefD22_9x_0)</f>
        <v>871.61</v>
      </c>
      <c r="E53" s="2"/>
      <c r="F53" s="6">
        <f t="shared" si="0"/>
        <v>7.1442985856319937E-3</v>
      </c>
      <c r="G53" s="2"/>
      <c r="H53" s="2">
        <f>SUM(OSRRefH22_9x_0)</f>
        <v>641.28</v>
      </c>
      <c r="I53" s="2"/>
      <c r="J53" s="6">
        <f t="shared" si="1"/>
        <v>0</v>
      </c>
      <c r="K53" s="2"/>
      <c r="L53" s="2">
        <f t="shared" si="2"/>
        <v>230.33000000000004</v>
      </c>
      <c r="M53" s="2"/>
      <c r="N53" s="6">
        <f t="shared" si="3"/>
        <v>0.35917228043912186</v>
      </c>
      <c r="O53" s="14"/>
      <c r="P53" s="2">
        <f>SUM(OSRRefP22_9x_0)</f>
        <v>6972.88</v>
      </c>
      <c r="Q53" s="2"/>
      <c r="R53" s="6">
        <f t="shared" si="4"/>
        <v>1.5793737889201839E-2</v>
      </c>
      <c r="S53" s="2"/>
      <c r="T53" s="2">
        <f>SUM(OSRRefT22_9x_0)</f>
        <v>5130.24</v>
      </c>
      <c r="U53" s="2"/>
      <c r="V53" s="6">
        <f t="shared" si="5"/>
        <v>0.11366257751624546</v>
      </c>
      <c r="W53" s="2"/>
      <c r="X53" s="2">
        <f t="shared" si="6"/>
        <v>1842.6400000000003</v>
      </c>
      <c r="Y53" s="2"/>
      <c r="Z53" s="6">
        <f t="shared" si="7"/>
        <v>0.35917228043912186</v>
      </c>
    </row>
    <row r="54" spans="1:26" s="69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8">
        <v>871.61</v>
      </c>
      <c r="E54" s="3"/>
      <c r="F54" s="7">
        <f t="shared" ref="F54:F79" si="8">IF(D$12=0,0,D54/D$12)</f>
        <v>7.1442985856319937E-3</v>
      </c>
      <c r="G54" s="3"/>
      <c r="H54" s="8">
        <v>641.28</v>
      </c>
      <c r="I54" s="3"/>
      <c r="J54" s="7">
        <f t="shared" ref="J54:J79" si="9">IF(H$12=0,0,H54/H$12)</f>
        <v>0</v>
      </c>
      <c r="K54" s="3"/>
      <c r="L54" s="8">
        <f t="shared" ref="L54:L79" si="10">+D54-H54</f>
        <v>230.33000000000004</v>
      </c>
      <c r="M54" s="3"/>
      <c r="N54" s="7">
        <f t="shared" ref="N54:N79" si="11">IF(H54=0,0,L54/H54)</f>
        <v>0.35917228043912186</v>
      </c>
      <c r="O54" s="12"/>
      <c r="P54" s="8">
        <v>6972.88</v>
      </c>
      <c r="Q54" s="3"/>
      <c r="R54" s="7">
        <f t="shared" ref="R54:R79" si="12">IF(P$12=0,0,P54/P$12)</f>
        <v>1.5793737889201839E-2</v>
      </c>
      <c r="S54" s="3"/>
      <c r="T54" s="8">
        <v>5130.24</v>
      </c>
      <c r="U54" s="3"/>
      <c r="V54" s="7">
        <f t="shared" ref="V54:V79" si="13">IF(T$12=0,0,T54/T$12)</f>
        <v>0.11366257751624546</v>
      </c>
      <c r="W54" s="3"/>
      <c r="X54" s="8">
        <f t="shared" ref="X54:X79" si="14">+P54-T54</f>
        <v>1842.6400000000003</v>
      </c>
      <c r="Y54" s="3"/>
      <c r="Z54" s="7">
        <f t="shared" ref="Z54:Z79" si="15">IF(T54=0,0,X54/T54)</f>
        <v>0.35917228043912186</v>
      </c>
    </row>
    <row r="55" spans="1:26" s="68" customFormat="1" ht="15" customHeight="1" outlineLevel="1" collapsed="1" x14ac:dyDescent="0.3">
      <c r="A55" s="25"/>
      <c r="B55" s="14" t="str">
        <f>CONCATENATE("     ","Interest                                          ")</f>
        <v xml:space="preserve">     Interest                                          </v>
      </c>
      <c r="C55" s="14"/>
      <c r="D55" s="2">
        <f>SUM(OSRRefD22_10x_0)</f>
        <v>7253</v>
      </c>
      <c r="E55" s="2"/>
      <c r="F55" s="6">
        <f t="shared" si="8"/>
        <v>5.9450439579156793E-2</v>
      </c>
      <c r="G55" s="2"/>
      <c r="H55" s="2">
        <f>SUM(OSRRefH22_10x_0)</f>
        <v>7510</v>
      </c>
      <c r="I55" s="2"/>
      <c r="J55" s="6">
        <f t="shared" si="9"/>
        <v>0</v>
      </c>
      <c r="K55" s="2"/>
      <c r="L55" s="2">
        <f t="shared" si="10"/>
        <v>-257</v>
      </c>
      <c r="M55" s="2"/>
      <c r="N55" s="6">
        <f t="shared" si="11"/>
        <v>-3.4221038615179764E-2</v>
      </c>
      <c r="O55" s="14"/>
      <c r="P55" s="2">
        <f>SUM(OSRRefP22_10x_0)</f>
        <v>57510</v>
      </c>
      <c r="Q55" s="2"/>
      <c r="R55" s="6">
        <f t="shared" si="12"/>
        <v>0.13026150830187783</v>
      </c>
      <c r="S55" s="2"/>
      <c r="T55" s="2">
        <f>SUM(OSRRefT22_10x_0)</f>
        <v>59593.15</v>
      </c>
      <c r="U55" s="2"/>
      <c r="V55" s="6">
        <f t="shared" si="13"/>
        <v>1.3203107517995734</v>
      </c>
      <c r="W55" s="2"/>
      <c r="X55" s="2">
        <f t="shared" si="14"/>
        <v>-2083.1500000000015</v>
      </c>
      <c r="Y55" s="2"/>
      <c r="Z55" s="6">
        <f t="shared" si="15"/>
        <v>-3.4956198824864962E-2</v>
      </c>
    </row>
    <row r="56" spans="1:26" s="69" customFormat="1" ht="15" hidden="1" customHeight="1" outlineLevel="2" x14ac:dyDescent="0.3">
      <c r="A56" s="26"/>
      <c r="B56" s="12" t="str">
        <f>CONCATENATE("          ","6401"," - ","INTEREST EXPENSE")</f>
        <v xml:space="preserve">          6401 - INTEREST EXPENSE</v>
      </c>
      <c r="C56" s="12"/>
      <c r="D56" s="8">
        <v>7253</v>
      </c>
      <c r="E56" s="3"/>
      <c r="F56" s="7">
        <f t="shared" si="8"/>
        <v>5.9450439579156793E-2</v>
      </c>
      <c r="G56" s="3"/>
      <c r="H56" s="8">
        <v>7510</v>
      </c>
      <c r="I56" s="3"/>
      <c r="J56" s="7">
        <f t="shared" si="9"/>
        <v>0</v>
      </c>
      <c r="K56" s="3"/>
      <c r="L56" s="8">
        <f t="shared" si="10"/>
        <v>-257</v>
      </c>
      <c r="M56" s="3"/>
      <c r="N56" s="7">
        <f t="shared" si="11"/>
        <v>-3.4221038615179764E-2</v>
      </c>
      <c r="O56" s="12"/>
      <c r="P56" s="8">
        <v>57510</v>
      </c>
      <c r="Q56" s="3"/>
      <c r="R56" s="7">
        <f t="shared" si="12"/>
        <v>0.13026150830187783</v>
      </c>
      <c r="S56" s="3"/>
      <c r="T56" s="8">
        <v>59593.15</v>
      </c>
      <c r="U56" s="3"/>
      <c r="V56" s="7">
        <f t="shared" si="13"/>
        <v>1.3203107517995734</v>
      </c>
      <c r="W56" s="3"/>
      <c r="X56" s="8">
        <f t="shared" si="14"/>
        <v>-2083.1500000000015</v>
      </c>
      <c r="Y56" s="3"/>
      <c r="Z56" s="7">
        <f t="shared" si="15"/>
        <v>-3.4956198824864962E-2</v>
      </c>
    </row>
    <row r="57" spans="1:26" s="68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SUM(OSRRefD22_11x_0)</f>
        <v>1803.3799999999999</v>
      </c>
      <c r="E57" s="2"/>
      <c r="F57" s="6">
        <f t="shared" si="8"/>
        <v>1.4781708772681616E-2</v>
      </c>
      <c r="G57" s="2"/>
      <c r="H57" s="2">
        <f>SUM(OSRRefH22_11x_0)</f>
        <v>315</v>
      </c>
      <c r="I57" s="2"/>
      <c r="J57" s="6">
        <f t="shared" si="9"/>
        <v>0</v>
      </c>
      <c r="K57" s="2"/>
      <c r="L57" s="2">
        <f t="shared" si="10"/>
        <v>1488.3799999999999</v>
      </c>
      <c r="M57" s="2"/>
      <c r="N57" s="6">
        <f t="shared" si="11"/>
        <v>4.7250158730158729</v>
      </c>
      <c r="O57" s="14"/>
      <c r="P57" s="2">
        <f>SUM(OSRRefP22_11x_0)</f>
        <v>23881.09</v>
      </c>
      <c r="Q57" s="2"/>
      <c r="R57" s="6">
        <f t="shared" si="12"/>
        <v>5.4091232886330921E-2</v>
      </c>
      <c r="S57" s="2"/>
      <c r="T57" s="2">
        <f>SUM(OSRRefT22_11x_0)</f>
        <v>15757.7</v>
      </c>
      <c r="U57" s="2"/>
      <c r="V57" s="6">
        <f t="shared" si="13"/>
        <v>0.34911832540538867</v>
      </c>
      <c r="W57" s="2"/>
      <c r="X57" s="2">
        <f t="shared" si="14"/>
        <v>8123.3899999999994</v>
      </c>
      <c r="Y57" s="2"/>
      <c r="Z57" s="6">
        <f t="shared" si="15"/>
        <v>0.51551876225591298</v>
      </c>
    </row>
    <row r="58" spans="1:26" s="69" customFormat="1" ht="15" hidden="1" customHeight="1" outlineLevel="2" x14ac:dyDescent="0.3">
      <c r="A58" s="26"/>
      <c r="B58" s="12" t="str">
        <f>CONCATENATE("          ","6373"," - ","MAINTENANCE CONTRACTS")</f>
        <v xml:space="preserve">          6373 - MAINTENANCE CONTRACTS</v>
      </c>
      <c r="C58" s="12"/>
      <c r="D58" s="8">
        <v>364.08</v>
      </c>
      <c r="E58" s="3"/>
      <c r="F58" s="7">
        <f t="shared" si="8"/>
        <v>2.984243215494196E-3</v>
      </c>
      <c r="G58" s="3"/>
      <c r="H58" s="8"/>
      <c r="I58" s="3"/>
      <c r="J58" s="7">
        <f t="shared" si="9"/>
        <v>0</v>
      </c>
      <c r="K58" s="3"/>
      <c r="L58" s="8">
        <f t="shared" si="10"/>
        <v>364.08</v>
      </c>
      <c r="M58" s="3"/>
      <c r="N58" s="7">
        <f t="shared" si="11"/>
        <v>0</v>
      </c>
      <c r="O58" s="12"/>
      <c r="P58" s="8">
        <v>3453.56</v>
      </c>
      <c r="Q58" s="3"/>
      <c r="R58" s="7">
        <f t="shared" si="12"/>
        <v>7.8223949680235293E-3</v>
      </c>
      <c r="S58" s="3"/>
      <c r="T58" s="8">
        <v>6596.34</v>
      </c>
      <c r="U58" s="3"/>
      <c r="V58" s="7">
        <f t="shared" si="13"/>
        <v>0.1461446260942004</v>
      </c>
      <c r="W58" s="3"/>
      <c r="X58" s="8">
        <f t="shared" si="14"/>
        <v>-3142.78</v>
      </c>
      <c r="Y58" s="3"/>
      <c r="Z58" s="7">
        <f t="shared" si="15"/>
        <v>-0.47644299717722255</v>
      </c>
    </row>
    <row r="59" spans="1:26" s="69" customFormat="1" ht="15" hidden="1" customHeight="1" outlineLevel="2" x14ac:dyDescent="0.3">
      <c r="A59" s="26"/>
      <c r="B59" s="12" t="str">
        <f>CONCATENATE("          ","6375"," - ","OUTSIDE REPAIRS &amp; MAINTENANCE")</f>
        <v xml:space="preserve">          6375 - OUTSIDE REPAIRS &amp; MAINTENANCE</v>
      </c>
      <c r="C59" s="12"/>
      <c r="D59" s="8">
        <v>1439.3</v>
      </c>
      <c r="E59" s="3"/>
      <c r="F59" s="7">
        <f t="shared" si="8"/>
        <v>1.1797465557187421E-2</v>
      </c>
      <c r="G59" s="3"/>
      <c r="H59" s="8">
        <v>315</v>
      </c>
      <c r="I59" s="3"/>
      <c r="J59" s="7">
        <f t="shared" si="9"/>
        <v>0</v>
      </c>
      <c r="K59" s="3"/>
      <c r="L59" s="8">
        <f t="shared" si="10"/>
        <v>1124.3</v>
      </c>
      <c r="M59" s="3"/>
      <c r="N59" s="7">
        <f t="shared" si="11"/>
        <v>3.569206349206349</v>
      </c>
      <c r="O59" s="12"/>
      <c r="P59" s="8">
        <v>20427.53</v>
      </c>
      <c r="Q59" s="3"/>
      <c r="R59" s="7">
        <f t="shared" si="12"/>
        <v>4.6268837918307389E-2</v>
      </c>
      <c r="S59" s="3"/>
      <c r="T59" s="8">
        <v>9161.36</v>
      </c>
      <c r="U59" s="3"/>
      <c r="V59" s="7">
        <f t="shared" si="13"/>
        <v>0.20297369931118828</v>
      </c>
      <c r="W59" s="3"/>
      <c r="X59" s="8">
        <f t="shared" si="14"/>
        <v>11266.169999999998</v>
      </c>
      <c r="Y59" s="3"/>
      <c r="Z59" s="7">
        <f t="shared" si="15"/>
        <v>1.2297486399399213</v>
      </c>
    </row>
    <row r="60" spans="1:26" s="68" customFormat="1" ht="15" customHeight="1" outlineLevel="1" collapsed="1" x14ac:dyDescent="0.3">
      <c r="A60" s="25"/>
      <c r="B60" s="14" t="str">
        <f>CONCATENATE("     ","Services                                          ")</f>
        <v xml:space="preserve">     Services                                          </v>
      </c>
      <c r="C60" s="14"/>
      <c r="D60" s="2">
        <f>SUM(OSRRefD22_12x_0)</f>
        <v>8085.54</v>
      </c>
      <c r="E60" s="2"/>
      <c r="F60" s="6">
        <f t="shared" si="8"/>
        <v>6.6274494310610152E-2</v>
      </c>
      <c r="G60" s="2"/>
      <c r="H60" s="2">
        <f>SUM(OSRRefH22_12x_0)</f>
        <v>1111.95</v>
      </c>
      <c r="I60" s="2"/>
      <c r="J60" s="6">
        <f t="shared" si="9"/>
        <v>0</v>
      </c>
      <c r="K60" s="2"/>
      <c r="L60" s="2">
        <f t="shared" si="10"/>
        <v>6973.59</v>
      </c>
      <c r="M60" s="2"/>
      <c r="N60" s="6">
        <f t="shared" si="11"/>
        <v>6.2714960205045189</v>
      </c>
      <c r="O60" s="14"/>
      <c r="P60" s="2">
        <f>SUM(OSRRefP22_12x_0)</f>
        <v>40741.5</v>
      </c>
      <c r="Q60" s="2"/>
      <c r="R60" s="6">
        <f t="shared" si="12"/>
        <v>9.2280459754494087E-2</v>
      </c>
      <c r="S60" s="2"/>
      <c r="T60" s="2">
        <f>SUM(OSRRefT22_12x_0)</f>
        <v>23896.13</v>
      </c>
      <c r="U60" s="2"/>
      <c r="V60" s="6">
        <f t="shared" si="13"/>
        <v>0.52942858978591234</v>
      </c>
      <c r="W60" s="2"/>
      <c r="X60" s="2">
        <f t="shared" si="14"/>
        <v>16845.37</v>
      </c>
      <c r="Y60" s="2"/>
      <c r="Z60" s="6">
        <f t="shared" si="15"/>
        <v>0.7049413440586404</v>
      </c>
    </row>
    <row r="61" spans="1:26" s="69" customFormat="1" ht="15" hidden="1" customHeight="1" outlineLevel="2" x14ac:dyDescent="0.3">
      <c r="A61" s="26"/>
      <c r="B61" s="12" t="str">
        <f>CONCATENATE("          ","6282"," - ","JANITORIAL/EXTERMINATOR EXPENS")</f>
        <v xml:space="preserve">          6282 - JANITORIAL/EXTERMINATOR EXPENS</v>
      </c>
      <c r="C61" s="12"/>
      <c r="D61" s="8">
        <v>351.55</v>
      </c>
      <c r="E61" s="3"/>
      <c r="F61" s="7">
        <f t="shared" si="8"/>
        <v>2.8815389540952116E-3</v>
      </c>
      <c r="G61" s="3"/>
      <c r="H61" s="8"/>
      <c r="I61" s="3"/>
      <c r="J61" s="7">
        <f t="shared" si="9"/>
        <v>0</v>
      </c>
      <c r="K61" s="3"/>
      <c r="L61" s="8">
        <f t="shared" si="10"/>
        <v>351.55</v>
      </c>
      <c r="M61" s="3"/>
      <c r="N61" s="7">
        <f t="shared" si="11"/>
        <v>0</v>
      </c>
      <c r="O61" s="12"/>
      <c r="P61" s="8">
        <v>2460.85</v>
      </c>
      <c r="Q61" s="3"/>
      <c r="R61" s="7">
        <f t="shared" si="12"/>
        <v>5.573883371668858E-3</v>
      </c>
      <c r="S61" s="3"/>
      <c r="T61" s="8">
        <v>2780.19</v>
      </c>
      <c r="U61" s="3"/>
      <c r="V61" s="7">
        <f t="shared" si="13"/>
        <v>6.1596253076832759E-2</v>
      </c>
      <c r="W61" s="3"/>
      <c r="X61" s="8">
        <f t="shared" si="14"/>
        <v>-319.34000000000015</v>
      </c>
      <c r="Y61" s="3"/>
      <c r="Z61" s="7">
        <f t="shared" si="15"/>
        <v>-0.11486265327189873</v>
      </c>
    </row>
    <row r="62" spans="1:26" s="69" customFormat="1" ht="15" hidden="1" customHeight="1" outlineLevel="2" x14ac:dyDescent="0.3">
      <c r="A62" s="26"/>
      <c r="B62" s="12" t="str">
        <f>CONCATENATE("          ","6284"," - ","TRASH REMOVAL EXPENSE")</f>
        <v xml:space="preserve">          6284 - TRASH REMOVAL EXPENSE</v>
      </c>
      <c r="C62" s="12"/>
      <c r="D62" s="8"/>
      <c r="E62" s="3"/>
      <c r="F62" s="7">
        <f t="shared" si="8"/>
        <v>0</v>
      </c>
      <c r="G62" s="3"/>
      <c r="H62" s="8">
        <v>1000</v>
      </c>
      <c r="I62" s="3"/>
      <c r="J62" s="7">
        <f t="shared" si="9"/>
        <v>0</v>
      </c>
      <c r="K62" s="3"/>
      <c r="L62" s="8">
        <f t="shared" si="10"/>
        <v>-1000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7761</v>
      </c>
      <c r="U62" s="3"/>
      <c r="V62" s="7">
        <f t="shared" si="13"/>
        <v>0.17194814747528012</v>
      </c>
      <c r="W62" s="3"/>
      <c r="X62" s="8">
        <f t="shared" si="14"/>
        <v>-7761</v>
      </c>
      <c r="Y62" s="3"/>
      <c r="Z62" s="7">
        <f t="shared" si="15"/>
        <v>-1</v>
      </c>
    </row>
    <row r="63" spans="1:26" s="69" customFormat="1" ht="15" hidden="1" customHeight="1" outlineLevel="2" x14ac:dyDescent="0.3">
      <c r="A63" s="26"/>
      <c r="B63" s="12" t="str">
        <f>CONCATENATE("          ","6285"," - ","JANITORIAL SERVICES")</f>
        <v xml:space="preserve">          6285 - JANITORIAL SERVICES</v>
      </c>
      <c r="C63" s="12"/>
      <c r="D63" s="8">
        <v>7414.79</v>
      </c>
      <c r="E63" s="3"/>
      <c r="F63" s="7">
        <f t="shared" si="8"/>
        <v>6.077657864154639E-2</v>
      </c>
      <c r="G63" s="3"/>
      <c r="H63" s="8">
        <v>0</v>
      </c>
      <c r="I63" s="3"/>
      <c r="J63" s="7">
        <f t="shared" si="9"/>
        <v>0</v>
      </c>
      <c r="K63" s="3"/>
      <c r="L63" s="8">
        <f t="shared" si="10"/>
        <v>7414.79</v>
      </c>
      <c r="M63" s="3"/>
      <c r="N63" s="7">
        <f t="shared" si="11"/>
        <v>0</v>
      </c>
      <c r="O63" s="12"/>
      <c r="P63" s="8">
        <v>36153.79</v>
      </c>
      <c r="Q63" s="3"/>
      <c r="R63" s="7">
        <f t="shared" si="12"/>
        <v>8.1889188249510469E-2</v>
      </c>
      <c r="S63" s="3"/>
      <c r="T63" s="8">
        <v>12770.81</v>
      </c>
      <c r="U63" s="3"/>
      <c r="V63" s="7">
        <f t="shared" si="13"/>
        <v>0.28294254880283237</v>
      </c>
      <c r="W63" s="3"/>
      <c r="X63" s="8">
        <f t="shared" si="14"/>
        <v>23382.980000000003</v>
      </c>
      <c r="Y63" s="3"/>
      <c r="Z63" s="7">
        <f t="shared" si="15"/>
        <v>1.8309707841554297</v>
      </c>
    </row>
    <row r="64" spans="1:26" s="69" customFormat="1" ht="15" hidden="1" customHeight="1" outlineLevel="2" x14ac:dyDescent="0.3">
      <c r="A64" s="26"/>
      <c r="B64" s="12" t="str">
        <f>CONCATENATE("          ","6286"," - ","LAUNDRY EXPENSE")</f>
        <v xml:space="preserve">          6286 - LAUNDRY EXPENSE</v>
      </c>
      <c r="C64" s="12"/>
      <c r="D64" s="8">
        <v>319.2</v>
      </c>
      <c r="E64" s="3"/>
      <c r="F64" s="7">
        <f t="shared" si="8"/>
        <v>2.6163767149685437E-3</v>
      </c>
      <c r="G64" s="3"/>
      <c r="H64" s="8">
        <v>111.95</v>
      </c>
      <c r="I64" s="3"/>
      <c r="J64" s="7">
        <f t="shared" si="9"/>
        <v>0</v>
      </c>
      <c r="K64" s="3"/>
      <c r="L64" s="8">
        <f t="shared" si="10"/>
        <v>207.25</v>
      </c>
      <c r="M64" s="3"/>
      <c r="N64" s="7">
        <f t="shared" si="11"/>
        <v>1.8512728896828941</v>
      </c>
      <c r="O64" s="12"/>
      <c r="P64" s="8">
        <v>2126.86</v>
      </c>
      <c r="Q64" s="3"/>
      <c r="R64" s="7">
        <f t="shared" si="12"/>
        <v>4.8173881333147608E-3</v>
      </c>
      <c r="S64" s="3"/>
      <c r="T64" s="8">
        <v>584.13</v>
      </c>
      <c r="U64" s="3"/>
      <c r="V64" s="7">
        <f t="shared" si="13"/>
        <v>1.2941640430967061E-2</v>
      </c>
      <c r="W64" s="3"/>
      <c r="X64" s="8">
        <f t="shared" si="14"/>
        <v>1542.73</v>
      </c>
      <c r="Y64" s="3"/>
      <c r="Z64" s="7">
        <f t="shared" si="15"/>
        <v>2.6410730488076286</v>
      </c>
    </row>
    <row r="65" spans="1:26" s="68" customFormat="1" ht="15" customHeight="1" outlineLevel="1" collapsed="1" x14ac:dyDescent="0.3">
      <c r="A65" s="25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2">
        <f>SUM(OSRRefD22_13x_0)</f>
        <v>389.38</v>
      </c>
      <c r="E65" s="2"/>
      <c r="F65" s="6">
        <f t="shared" si="8"/>
        <v>3.1916189388297355E-3</v>
      </c>
      <c r="G65" s="2"/>
      <c r="H65" s="2">
        <f>SUM(OSRRefH22_13x_0)</f>
        <v>262.83999999999997</v>
      </c>
      <c r="I65" s="2"/>
      <c r="J65" s="6">
        <f t="shared" si="9"/>
        <v>0</v>
      </c>
      <c r="K65" s="2"/>
      <c r="L65" s="2">
        <f t="shared" si="10"/>
        <v>126.54000000000002</v>
      </c>
      <c r="M65" s="2"/>
      <c r="N65" s="6">
        <f t="shared" si="11"/>
        <v>0.48143357175467977</v>
      </c>
      <c r="O65" s="14"/>
      <c r="P65" s="2">
        <f>SUM(OSRRefP22_13x_0)</f>
        <v>3227.53</v>
      </c>
      <c r="Q65" s="2"/>
      <c r="R65" s="6">
        <f t="shared" si="12"/>
        <v>7.3104316795263389E-3</v>
      </c>
      <c r="S65" s="2"/>
      <c r="T65" s="2">
        <f>SUM(OSRRefT22_13x_0)</f>
        <v>797.01</v>
      </c>
      <c r="U65" s="2"/>
      <c r="V65" s="6">
        <f t="shared" si="13"/>
        <v>1.7658084398823992E-2</v>
      </c>
      <c r="W65" s="2"/>
      <c r="X65" s="2">
        <f t="shared" si="14"/>
        <v>2430.5200000000004</v>
      </c>
      <c r="Y65" s="2"/>
      <c r="Z65" s="6">
        <f t="shared" si="15"/>
        <v>3.0495476844707099</v>
      </c>
    </row>
    <row r="66" spans="1:26" s="69" customFormat="1" ht="15" hidden="1" customHeight="1" outlineLevel="2" x14ac:dyDescent="0.3">
      <c r="A66" s="26"/>
      <c r="B66" s="12" t="str">
        <f>CONCATENATE("          ","6275"," - ","SUBSCRIPTIONS")</f>
        <v xml:space="preserve">          6275 - SUBSCRIPTIONS</v>
      </c>
      <c r="C66" s="12"/>
      <c r="D66" s="8">
        <v>389.38</v>
      </c>
      <c r="E66" s="3"/>
      <c r="F66" s="7">
        <f t="shared" si="8"/>
        <v>3.1916189388297355E-3</v>
      </c>
      <c r="G66" s="3"/>
      <c r="H66" s="8">
        <v>262.83999999999997</v>
      </c>
      <c r="I66" s="3"/>
      <c r="J66" s="7">
        <f t="shared" si="9"/>
        <v>0</v>
      </c>
      <c r="K66" s="3"/>
      <c r="L66" s="8">
        <f t="shared" si="10"/>
        <v>126.54000000000002</v>
      </c>
      <c r="M66" s="3"/>
      <c r="N66" s="7">
        <f t="shared" si="11"/>
        <v>0.48143357175467977</v>
      </c>
      <c r="O66" s="12"/>
      <c r="P66" s="8">
        <v>3227.53</v>
      </c>
      <c r="Q66" s="3"/>
      <c r="R66" s="7">
        <f t="shared" si="12"/>
        <v>7.3104316795263389E-3</v>
      </c>
      <c r="S66" s="3"/>
      <c r="T66" s="8">
        <v>797.01</v>
      </c>
      <c r="U66" s="3"/>
      <c r="V66" s="7">
        <f t="shared" si="13"/>
        <v>1.7658084398823992E-2</v>
      </c>
      <c r="W66" s="3"/>
      <c r="X66" s="8">
        <f t="shared" si="14"/>
        <v>2430.5200000000004</v>
      </c>
      <c r="Y66" s="3"/>
      <c r="Z66" s="7">
        <f t="shared" si="15"/>
        <v>3.0495476844707099</v>
      </c>
    </row>
    <row r="67" spans="1:26" s="68" customFormat="1" ht="15" customHeight="1" outlineLevel="1" collapsed="1" x14ac:dyDescent="0.3">
      <c r="A67" s="25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SUM(OSRRefD22_14x_0)</f>
        <v>1572.1999999999998</v>
      </c>
      <c r="E67" s="2"/>
      <c r="F67" s="6">
        <f t="shared" si="8"/>
        <v>1.2886802854866992E-2</v>
      </c>
      <c r="G67" s="2"/>
      <c r="H67" s="2">
        <f>SUM(OSRRefH22_14x_0)</f>
        <v>71.180000000000007</v>
      </c>
      <c r="I67" s="2"/>
      <c r="J67" s="6">
        <f t="shared" si="9"/>
        <v>0</v>
      </c>
      <c r="K67" s="2"/>
      <c r="L67" s="2">
        <f t="shared" si="10"/>
        <v>1501.0199999999998</v>
      </c>
      <c r="M67" s="2"/>
      <c r="N67" s="6">
        <f t="shared" si="11"/>
        <v>21.087665074459114</v>
      </c>
      <c r="O67" s="14"/>
      <c r="P67" s="2">
        <f>SUM(OSRRefP22_14x_0)</f>
        <v>11977.650000000001</v>
      </c>
      <c r="Q67" s="2"/>
      <c r="R67" s="6">
        <f t="shared" si="12"/>
        <v>2.7129660144531161E-2</v>
      </c>
      <c r="S67" s="2"/>
      <c r="T67" s="2">
        <f>SUM(OSRRefT22_14x_0)</f>
        <v>7657.0099999999993</v>
      </c>
      <c r="U67" s="2"/>
      <c r="V67" s="6">
        <f t="shared" si="13"/>
        <v>0.16964420624915533</v>
      </c>
      <c r="W67" s="2"/>
      <c r="X67" s="2">
        <f t="shared" si="14"/>
        <v>4320.6400000000021</v>
      </c>
      <c r="Y67" s="2"/>
      <c r="Z67" s="6">
        <f t="shared" si="15"/>
        <v>0.56427247711574136</v>
      </c>
    </row>
    <row r="68" spans="1:26" s="69" customFormat="1" ht="15" hidden="1" customHeight="1" outlineLevel="2" x14ac:dyDescent="0.3">
      <c r="A68" s="26"/>
      <c r="B68" s="12" t="str">
        <f>CONCATENATE("          ","6234"," - ","EXPENDABLE SUPPLIES &amp; EQUIPMEN")</f>
        <v xml:space="preserve">          6234 - EXPENDABLE SUPPLIES &amp; EQUIPMEN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57.77</v>
      </c>
      <c r="Q68" s="3"/>
      <c r="R68" s="7">
        <f t="shared" si="12"/>
        <v>1.3085041444269661E-4</v>
      </c>
      <c r="S68" s="3"/>
      <c r="T68" s="8">
        <v>310.91000000000003</v>
      </c>
      <c r="U68" s="3"/>
      <c r="V68" s="7">
        <f t="shared" si="13"/>
        <v>6.8883389423449737E-3</v>
      </c>
      <c r="W68" s="3"/>
      <c r="X68" s="8">
        <f t="shared" si="14"/>
        <v>-253.14000000000001</v>
      </c>
      <c r="Y68" s="3"/>
      <c r="Z68" s="7">
        <f t="shared" si="15"/>
        <v>-0.81419060178186609</v>
      </c>
    </row>
    <row r="69" spans="1:26" s="69" customFormat="1" ht="15" hidden="1" customHeight="1" outlineLevel="2" x14ac:dyDescent="0.3">
      <c r="A69" s="26"/>
      <c r="B69" s="12" t="str">
        <f>CONCATENATE("          ","6235"," - ","COVID-19 EXPENSES")</f>
        <v xml:space="preserve">          6235 - COVID-19 EXPENSES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/>
      <c r="Q69" s="3"/>
      <c r="R69" s="7">
        <f t="shared" si="12"/>
        <v>0</v>
      </c>
      <c r="S69" s="3"/>
      <c r="T69" s="8">
        <v>6753.97</v>
      </c>
      <c r="U69" s="3"/>
      <c r="V69" s="7">
        <f t="shared" si="13"/>
        <v>0.14963698358505576</v>
      </c>
      <c r="W69" s="3"/>
      <c r="X69" s="8">
        <f t="shared" si="14"/>
        <v>-6753.97</v>
      </c>
      <c r="Y69" s="3"/>
      <c r="Z69" s="7">
        <f t="shared" si="15"/>
        <v>-1</v>
      </c>
    </row>
    <row r="70" spans="1:26" s="69" customFormat="1" ht="15" hidden="1" customHeight="1" outlineLevel="2" x14ac:dyDescent="0.3">
      <c r="A70" s="26"/>
      <c r="B70" s="12" t="str">
        <f>CONCATENATE("          ","6237"," - ","JANITORIAL SUPPLIES")</f>
        <v xml:space="preserve">          6237 - JANITORIAL SUPPLIES</v>
      </c>
      <c r="C70" s="12"/>
      <c r="D70" s="8">
        <v>612.49</v>
      </c>
      <c r="E70" s="3"/>
      <c r="F70" s="7">
        <f t="shared" si="8"/>
        <v>5.0203777385685565E-3</v>
      </c>
      <c r="G70" s="3"/>
      <c r="H70" s="8"/>
      <c r="I70" s="3"/>
      <c r="J70" s="7">
        <f t="shared" si="9"/>
        <v>0</v>
      </c>
      <c r="K70" s="3"/>
      <c r="L70" s="8">
        <f t="shared" si="10"/>
        <v>612.49</v>
      </c>
      <c r="M70" s="3"/>
      <c r="N70" s="7">
        <f t="shared" si="11"/>
        <v>0</v>
      </c>
      <c r="O70" s="12"/>
      <c r="P70" s="8">
        <v>5615.22</v>
      </c>
      <c r="Q70" s="3"/>
      <c r="R70" s="7">
        <f t="shared" si="12"/>
        <v>1.2718605923263265E-2</v>
      </c>
      <c r="S70" s="3"/>
      <c r="T70" s="8">
        <v>286.91000000000003</v>
      </c>
      <c r="U70" s="3"/>
      <c r="V70" s="7">
        <f t="shared" si="13"/>
        <v>6.3566090699822986E-3</v>
      </c>
      <c r="W70" s="3"/>
      <c r="X70" s="8">
        <f t="shared" si="14"/>
        <v>5328.31</v>
      </c>
      <c r="Y70" s="3"/>
      <c r="Z70" s="7">
        <f t="shared" si="15"/>
        <v>18.57136384231989</v>
      </c>
    </row>
    <row r="71" spans="1:26" s="69" customFormat="1" ht="15" hidden="1" customHeight="1" outlineLevel="2" x14ac:dyDescent="0.3">
      <c r="A71" s="26"/>
      <c r="B71" s="12" t="str">
        <f>CONCATENATE("          ","6239"," - ","KITCHEN SUPPLIES")</f>
        <v xml:space="preserve">          6239 - KITCHEN SUPPLIES</v>
      </c>
      <c r="C71" s="12"/>
      <c r="D71" s="8">
        <v>238.27</v>
      </c>
      <c r="E71" s="3"/>
      <c r="F71" s="7">
        <f t="shared" si="8"/>
        <v>1.9530203003620141E-3</v>
      </c>
      <c r="G71" s="3"/>
      <c r="H71" s="8"/>
      <c r="I71" s="3"/>
      <c r="J71" s="7">
        <f t="shared" si="9"/>
        <v>0</v>
      </c>
      <c r="K71" s="3"/>
      <c r="L71" s="8">
        <f t="shared" si="10"/>
        <v>238.27</v>
      </c>
      <c r="M71" s="3"/>
      <c r="N71" s="7">
        <f t="shared" si="11"/>
        <v>0</v>
      </c>
      <c r="O71" s="12"/>
      <c r="P71" s="8">
        <v>1609.6</v>
      </c>
      <c r="Q71" s="3"/>
      <c r="R71" s="7">
        <f t="shared" si="12"/>
        <v>3.6457820163919756E-3</v>
      </c>
      <c r="S71" s="3"/>
      <c r="T71" s="8">
        <v>19.829999999999998</v>
      </c>
      <c r="U71" s="3"/>
      <c r="V71" s="7">
        <f t="shared" si="13"/>
        <v>4.3934180703966041E-4</v>
      </c>
      <c r="W71" s="3"/>
      <c r="X71" s="8">
        <f t="shared" si="14"/>
        <v>1589.77</v>
      </c>
      <c r="Y71" s="3"/>
      <c r="Z71" s="7">
        <f t="shared" si="15"/>
        <v>80.169944528492195</v>
      </c>
    </row>
    <row r="72" spans="1:26" s="69" customFormat="1" ht="15" hidden="1" customHeight="1" outlineLevel="2" x14ac:dyDescent="0.3">
      <c r="A72" s="26"/>
      <c r="B72" s="12" t="str">
        <f>CONCATENATE("          ","6241"," - ","OFFICE EXPENSE")</f>
        <v xml:space="preserve">          6241 - OFFICE EXPENSE</v>
      </c>
      <c r="C72" s="12"/>
      <c r="D72" s="8">
        <v>151.79</v>
      </c>
      <c r="E72" s="3"/>
      <c r="F72" s="7">
        <f t="shared" si="8"/>
        <v>1.2441723733241704E-3</v>
      </c>
      <c r="G72" s="3"/>
      <c r="H72" s="8">
        <v>71.180000000000007</v>
      </c>
      <c r="I72" s="3"/>
      <c r="J72" s="7">
        <f t="shared" si="9"/>
        <v>0</v>
      </c>
      <c r="K72" s="3"/>
      <c r="L72" s="8">
        <f t="shared" si="10"/>
        <v>80.609999999999985</v>
      </c>
      <c r="M72" s="3"/>
      <c r="N72" s="7">
        <f t="shared" si="11"/>
        <v>1.1324810339983138</v>
      </c>
      <c r="O72" s="12"/>
      <c r="P72" s="8">
        <v>3639.18</v>
      </c>
      <c r="Q72" s="3"/>
      <c r="R72" s="7">
        <f t="shared" si="12"/>
        <v>8.2428286520957687E-3</v>
      </c>
      <c r="S72" s="3"/>
      <c r="T72" s="8">
        <v>219.9</v>
      </c>
      <c r="U72" s="3"/>
      <c r="V72" s="7">
        <f t="shared" si="13"/>
        <v>4.8719749555230125E-3</v>
      </c>
      <c r="W72" s="3"/>
      <c r="X72" s="8">
        <f t="shared" si="14"/>
        <v>3419.2799999999997</v>
      </c>
      <c r="Y72" s="3"/>
      <c r="Z72" s="7">
        <f t="shared" si="15"/>
        <v>15.549249658935878</v>
      </c>
    </row>
    <row r="73" spans="1:26" s="69" customFormat="1" ht="15" hidden="1" customHeight="1" outlineLevel="2" x14ac:dyDescent="0.3">
      <c r="A73" s="26"/>
      <c r="B73" s="12" t="str">
        <f>CONCATENATE("          ","6243"," - ","PAPER SUPPLIES")</f>
        <v xml:space="preserve">          6243 - PAPER SUPPLIES</v>
      </c>
      <c r="C73" s="12"/>
      <c r="D73" s="8">
        <v>569.65</v>
      </c>
      <c r="E73" s="3"/>
      <c r="F73" s="7">
        <f t="shared" si="8"/>
        <v>4.6692324426122521E-3</v>
      </c>
      <c r="G73" s="3"/>
      <c r="H73" s="8"/>
      <c r="I73" s="3"/>
      <c r="J73" s="7">
        <f t="shared" si="9"/>
        <v>0</v>
      </c>
      <c r="K73" s="3"/>
      <c r="L73" s="8">
        <f t="shared" si="10"/>
        <v>569.65</v>
      </c>
      <c r="M73" s="3"/>
      <c r="N73" s="7">
        <f t="shared" si="11"/>
        <v>0</v>
      </c>
      <c r="O73" s="12"/>
      <c r="P73" s="8">
        <v>1055.8800000000001</v>
      </c>
      <c r="Q73" s="3"/>
      <c r="R73" s="7">
        <f t="shared" si="12"/>
        <v>2.3915931383374505E-3</v>
      </c>
      <c r="S73" s="3"/>
      <c r="T73" s="8">
        <v>65.489999999999995</v>
      </c>
      <c r="U73" s="3"/>
      <c r="V73" s="7">
        <f t="shared" si="13"/>
        <v>1.45095788920965E-3</v>
      </c>
      <c r="W73" s="3"/>
      <c r="X73" s="8">
        <f t="shared" si="14"/>
        <v>990.3900000000001</v>
      </c>
      <c r="Y73" s="3"/>
      <c r="Z73" s="7">
        <f t="shared" si="15"/>
        <v>15.122766834631244</v>
      </c>
    </row>
    <row r="74" spans="1:26" s="68" customFormat="1" ht="15" customHeight="1" outlineLevel="1" collapsed="1" x14ac:dyDescent="0.3">
      <c r="A74" s="25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SUM(OSRRefD22_15x_0)</f>
        <v>182</v>
      </c>
      <c r="E74" s="2"/>
      <c r="F74" s="6">
        <f t="shared" si="8"/>
        <v>1.4917937409908363E-3</v>
      </c>
      <c r="G74" s="2"/>
      <c r="H74" s="2">
        <f>SUM(OSRRefH22_15x_0)</f>
        <v>-68</v>
      </c>
      <c r="I74" s="2"/>
      <c r="J74" s="6">
        <f t="shared" si="9"/>
        <v>0</v>
      </c>
      <c r="K74" s="2"/>
      <c r="L74" s="2">
        <f t="shared" si="10"/>
        <v>250</v>
      </c>
      <c r="M74" s="2"/>
      <c r="N74" s="6">
        <f t="shared" si="11"/>
        <v>-3.6764705882352939</v>
      </c>
      <c r="O74" s="14"/>
      <c r="P74" s="2">
        <f>SUM(OSRRefP22_15x_0)</f>
        <v>1920.18</v>
      </c>
      <c r="Q74" s="2"/>
      <c r="R74" s="6">
        <f t="shared" si="12"/>
        <v>4.3492530518361985E-3</v>
      </c>
      <c r="S74" s="2"/>
      <c r="T74" s="2">
        <f>SUM(OSRRefT22_15x_0)</f>
        <v>1609</v>
      </c>
      <c r="U74" s="2"/>
      <c r="V74" s="6">
        <f t="shared" si="13"/>
        <v>3.5648056859647684E-2</v>
      </c>
      <c r="W74" s="2"/>
      <c r="X74" s="2">
        <f t="shared" si="14"/>
        <v>311.18000000000006</v>
      </c>
      <c r="Y74" s="2"/>
      <c r="Z74" s="6">
        <f t="shared" si="15"/>
        <v>0.19339962709757616</v>
      </c>
    </row>
    <row r="75" spans="1:26" s="69" customFormat="1" ht="15" hidden="1" customHeight="1" outlineLevel="2" x14ac:dyDescent="0.3">
      <c r="A75" s="26"/>
      <c r="B75" s="12" t="str">
        <f>CONCATENATE("          ","6309"," - ","TELEPHONE")</f>
        <v xml:space="preserve">          6309 - TELEPHONE</v>
      </c>
      <c r="C75" s="12"/>
      <c r="D75" s="8">
        <v>182</v>
      </c>
      <c r="E75" s="3"/>
      <c r="F75" s="7">
        <f t="shared" si="8"/>
        <v>1.4917937409908363E-3</v>
      </c>
      <c r="G75" s="3"/>
      <c r="H75" s="8">
        <v>-68</v>
      </c>
      <c r="I75" s="3"/>
      <c r="J75" s="7">
        <f t="shared" si="9"/>
        <v>0</v>
      </c>
      <c r="K75" s="3"/>
      <c r="L75" s="8">
        <f t="shared" si="10"/>
        <v>250</v>
      </c>
      <c r="M75" s="3"/>
      <c r="N75" s="7">
        <f t="shared" si="11"/>
        <v>-3.6764705882352939</v>
      </c>
      <c r="O75" s="12"/>
      <c r="P75" s="8">
        <v>1920.18</v>
      </c>
      <c r="Q75" s="3"/>
      <c r="R75" s="7">
        <f t="shared" si="12"/>
        <v>4.3492530518361985E-3</v>
      </c>
      <c r="S75" s="3"/>
      <c r="T75" s="8">
        <v>1609</v>
      </c>
      <c r="U75" s="3"/>
      <c r="V75" s="7">
        <f t="shared" si="13"/>
        <v>3.5648056859647684E-2</v>
      </c>
      <c r="W75" s="3"/>
      <c r="X75" s="8">
        <f t="shared" si="14"/>
        <v>311.18000000000006</v>
      </c>
      <c r="Y75" s="3"/>
      <c r="Z75" s="7">
        <f t="shared" si="15"/>
        <v>0.19339962709757616</v>
      </c>
    </row>
    <row r="76" spans="1:26" s="68" customFormat="1" ht="15" customHeight="1" outlineLevel="1" collapsed="1" x14ac:dyDescent="0.3">
      <c r="A76" s="25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SUM(OSRRefD22_16x_0)</f>
        <v>160</v>
      </c>
      <c r="E76" s="2"/>
      <c r="F76" s="6">
        <f t="shared" si="8"/>
        <v>1.311467025046889E-3</v>
      </c>
      <c r="G76" s="2"/>
      <c r="H76" s="2">
        <f>SUM(OSRRefH22_16x_0)</f>
        <v>0</v>
      </c>
      <c r="I76" s="2"/>
      <c r="J76" s="6">
        <f t="shared" si="9"/>
        <v>0</v>
      </c>
      <c r="K76" s="2"/>
      <c r="L76" s="2">
        <f t="shared" si="10"/>
        <v>160</v>
      </c>
      <c r="M76" s="2"/>
      <c r="N76" s="6">
        <f t="shared" si="11"/>
        <v>0</v>
      </c>
      <c r="O76" s="14"/>
      <c r="P76" s="2">
        <f>SUM(OSRRefP22_16x_0)</f>
        <v>160</v>
      </c>
      <c r="Q76" s="2"/>
      <c r="R76" s="6">
        <f t="shared" si="12"/>
        <v>3.6240377896540517E-4</v>
      </c>
      <c r="S76" s="2"/>
      <c r="T76" s="2">
        <f>SUM(OSRRefT22_16x_0)</f>
        <v>400</v>
      </c>
      <c r="U76" s="2"/>
      <c r="V76" s="6">
        <f t="shared" si="13"/>
        <v>8.8621645393779213E-3</v>
      </c>
      <c r="W76" s="2"/>
      <c r="X76" s="2">
        <f t="shared" si="14"/>
        <v>-240</v>
      </c>
      <c r="Y76" s="2"/>
      <c r="Z76" s="6">
        <f t="shared" si="15"/>
        <v>-0.6</v>
      </c>
    </row>
    <row r="77" spans="1:26" s="69" customFormat="1" ht="15" hidden="1" customHeight="1" outlineLevel="2" x14ac:dyDescent="0.3">
      <c r="A77" s="26"/>
      <c r="B77" s="12" t="str">
        <f>CONCATENATE("          ","6376"," - ","TRAINING")</f>
        <v xml:space="preserve">          6376 - TRAINING</v>
      </c>
      <c r="C77" s="12"/>
      <c r="D77" s="8">
        <v>160</v>
      </c>
      <c r="E77" s="3"/>
      <c r="F77" s="7">
        <f t="shared" si="8"/>
        <v>1.311467025046889E-3</v>
      </c>
      <c r="G77" s="3"/>
      <c r="H77" s="8"/>
      <c r="I77" s="3"/>
      <c r="J77" s="7">
        <f t="shared" si="9"/>
        <v>0</v>
      </c>
      <c r="K77" s="3"/>
      <c r="L77" s="8">
        <f t="shared" si="10"/>
        <v>160</v>
      </c>
      <c r="M77" s="3"/>
      <c r="N77" s="7">
        <f t="shared" si="11"/>
        <v>0</v>
      </c>
      <c r="O77" s="12"/>
      <c r="P77" s="8">
        <v>160</v>
      </c>
      <c r="Q77" s="3"/>
      <c r="R77" s="7">
        <f t="shared" si="12"/>
        <v>3.6240377896540517E-4</v>
      </c>
      <c r="S77" s="3"/>
      <c r="T77" s="8">
        <v>400</v>
      </c>
      <c r="U77" s="3"/>
      <c r="V77" s="7">
        <f t="shared" si="13"/>
        <v>8.8621645393779213E-3</v>
      </c>
      <c r="W77" s="3"/>
      <c r="X77" s="8">
        <f t="shared" si="14"/>
        <v>-240</v>
      </c>
      <c r="Y77" s="3"/>
      <c r="Z77" s="7">
        <f t="shared" si="15"/>
        <v>-0.6</v>
      </c>
    </row>
    <row r="78" spans="1:26" s="68" customFormat="1" ht="15" customHeight="1" outlineLevel="1" collapsed="1" x14ac:dyDescent="0.3">
      <c r="A78" s="25"/>
      <c r="B78" s="14" t="str">
        <f>CONCATENATE("     ","Utilities                                         ")</f>
        <v xml:space="preserve">     Utilities                                         </v>
      </c>
      <c r="C78" s="14"/>
      <c r="D78" s="2">
        <f>SUM(OSRRefD22_17x_0)</f>
        <v>2400</v>
      </c>
      <c r="E78" s="2"/>
      <c r="F78" s="6">
        <f t="shared" si="8"/>
        <v>1.9672005375703336E-2</v>
      </c>
      <c r="G78" s="2"/>
      <c r="H78" s="2">
        <f>SUM(OSRRefH22_17x_0)</f>
        <v>2312</v>
      </c>
      <c r="I78" s="2"/>
      <c r="J78" s="6">
        <f t="shared" si="9"/>
        <v>0</v>
      </c>
      <c r="K78" s="2"/>
      <c r="L78" s="2">
        <f t="shared" si="10"/>
        <v>88</v>
      </c>
      <c r="M78" s="2"/>
      <c r="N78" s="6">
        <f t="shared" si="11"/>
        <v>3.8062283737024222E-2</v>
      </c>
      <c r="O78" s="14"/>
      <c r="P78" s="2">
        <f>SUM(OSRRefP22_17x_0)</f>
        <v>16800</v>
      </c>
      <c r="Q78" s="2"/>
      <c r="R78" s="6">
        <f t="shared" si="12"/>
        <v>3.8052396791367543E-2</v>
      </c>
      <c r="S78" s="2"/>
      <c r="T78" s="2">
        <f>SUM(OSRRefT22_17x_0)</f>
        <v>18448</v>
      </c>
      <c r="U78" s="2"/>
      <c r="V78" s="6">
        <f t="shared" si="13"/>
        <v>0.4087230285561097</v>
      </c>
      <c r="W78" s="2"/>
      <c r="X78" s="2">
        <f t="shared" si="14"/>
        <v>-1648</v>
      </c>
      <c r="Y78" s="2"/>
      <c r="Z78" s="6">
        <f t="shared" si="15"/>
        <v>-8.9332176929748486E-2</v>
      </c>
    </row>
    <row r="79" spans="1:26" s="69" customFormat="1" ht="15" hidden="1" customHeight="1" outlineLevel="2" x14ac:dyDescent="0.3">
      <c r="A79" s="26"/>
      <c r="B79" s="12" t="str">
        <f>CONCATENATE("          ","6274"," - ","UTILITIES")</f>
        <v xml:space="preserve">          6274 - UTILITIES</v>
      </c>
      <c r="C79" s="12"/>
      <c r="D79" s="8">
        <v>2400</v>
      </c>
      <c r="E79" s="3"/>
      <c r="F79" s="7">
        <f t="shared" si="8"/>
        <v>1.9672005375703336E-2</v>
      </c>
      <c r="G79" s="3"/>
      <c r="H79" s="8">
        <v>2312</v>
      </c>
      <c r="I79" s="3"/>
      <c r="J79" s="7">
        <f t="shared" si="9"/>
        <v>0</v>
      </c>
      <c r="K79" s="3"/>
      <c r="L79" s="8">
        <f t="shared" si="10"/>
        <v>88</v>
      </c>
      <c r="M79" s="3"/>
      <c r="N79" s="7">
        <f t="shared" si="11"/>
        <v>3.8062283737024222E-2</v>
      </c>
      <c r="O79" s="12"/>
      <c r="P79" s="8">
        <v>16800</v>
      </c>
      <c r="Q79" s="3"/>
      <c r="R79" s="7">
        <f t="shared" si="12"/>
        <v>3.8052396791367543E-2</v>
      </c>
      <c r="S79" s="3"/>
      <c r="T79" s="8">
        <v>18448</v>
      </c>
      <c r="U79" s="3"/>
      <c r="V79" s="7">
        <f t="shared" si="13"/>
        <v>0.4087230285561097</v>
      </c>
      <c r="W79" s="3"/>
      <c r="X79" s="8">
        <f t="shared" si="14"/>
        <v>-1648</v>
      </c>
      <c r="Y79" s="3"/>
      <c r="Z79" s="7">
        <f t="shared" si="15"/>
        <v>-8.9332176929748486E-2</v>
      </c>
    </row>
    <row r="80" spans="1:26" s="64" customFormat="1" ht="15" customHeight="1" x14ac:dyDescent="0.3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collapsed="1" x14ac:dyDescent="0.3">
      <c r="A81" s="11"/>
      <c r="B81" s="27" t="s">
        <v>290</v>
      </c>
      <c r="C81" s="11"/>
      <c r="D81" s="5">
        <f>SUM(OSRRefD25x_0)</f>
        <v>3.7</v>
      </c>
      <c r="E81" s="5"/>
      <c r="F81" s="13">
        <f>IF(D$12=0,0,D81/D$12)</f>
        <v>3.032767495420931E-5</v>
      </c>
      <c r="G81" s="5"/>
      <c r="H81" s="5">
        <f>SUM(OSRRefH25x_0)</f>
        <v>0</v>
      </c>
      <c r="I81" s="5"/>
      <c r="J81" s="13">
        <f>IF(H$12=0,0,H81/H$12)</f>
        <v>0</v>
      </c>
      <c r="K81" s="5"/>
      <c r="L81" s="5">
        <f>+D81-H81</f>
        <v>3.7</v>
      </c>
      <c r="M81" s="5"/>
      <c r="N81" s="13">
        <f>IF(H81=0,0,L81/H81)</f>
        <v>0</v>
      </c>
      <c r="O81" s="11"/>
      <c r="P81" s="5">
        <f>SUM(OSRRefP25x_0)</f>
        <v>6.03</v>
      </c>
      <c r="Q81" s="5"/>
      <c r="R81" s="13">
        <f>IF(P$12=0,0,P81/P$12)</f>
        <v>1.3658092419758707E-5</v>
      </c>
      <c r="S81" s="5"/>
      <c r="T81" s="5">
        <f>SUM(OSRRefT25x_0)</f>
        <v>0</v>
      </c>
      <c r="U81" s="5"/>
      <c r="V81" s="13">
        <f>IF(T$12=0,0,T81/T$12)</f>
        <v>0</v>
      </c>
      <c r="W81" s="5"/>
      <c r="X81" s="5">
        <f>+P81-T81</f>
        <v>6.03</v>
      </c>
      <c r="Y81" s="5"/>
      <c r="Z81" s="13">
        <f>IF(T81=0,0,X81/T81)</f>
        <v>0</v>
      </c>
    </row>
    <row r="82" spans="1:26" s="69" customFormat="1" ht="15" hidden="1" customHeight="1" outlineLevel="1" x14ac:dyDescent="0.3">
      <c r="A82" s="42"/>
      <c r="B82" s="12" t="str">
        <f>CONCATENATE("          ","9150"," - ","MISC. INCOME")</f>
        <v xml:space="preserve">          9150 - MISC. INCOME</v>
      </c>
      <c r="C82" s="12"/>
      <c r="D82" s="3">
        <f>--3.7</f>
        <v>3.7</v>
      </c>
      <c r="E82" s="3"/>
      <c r="F82" s="20">
        <f>IF(D$12=0,0,D82/D$12)</f>
        <v>3.032767495420931E-5</v>
      </c>
      <c r="G82" s="3"/>
      <c r="H82" s="3">
        <f>0</f>
        <v>0</v>
      </c>
      <c r="I82" s="3"/>
      <c r="J82" s="20">
        <f>IF(H$12=0,0,H82/H$12)</f>
        <v>0</v>
      </c>
      <c r="K82" s="3"/>
      <c r="L82" s="3">
        <f>+D82-H82</f>
        <v>3.7</v>
      </c>
      <c r="M82" s="3"/>
      <c r="N82" s="20">
        <f>IF(H82=0,0,L82/H82)</f>
        <v>0</v>
      </c>
      <c r="O82" s="12"/>
      <c r="P82" s="3">
        <f>--6.03</f>
        <v>6.03</v>
      </c>
      <c r="Q82" s="3"/>
      <c r="R82" s="20">
        <f>IF(P$12=0,0,P82/P$12)</f>
        <v>1.3658092419758707E-5</v>
      </c>
      <c r="S82" s="3"/>
      <c r="T82" s="3">
        <f>0</f>
        <v>0</v>
      </c>
      <c r="U82" s="3"/>
      <c r="V82" s="20">
        <f>IF(T$12=0,0,T82/T$12)</f>
        <v>0</v>
      </c>
      <c r="W82" s="3"/>
      <c r="X82" s="3">
        <f>+P82-T82</f>
        <v>6.03</v>
      </c>
      <c r="Y82" s="3"/>
      <c r="Z82" s="20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291</v>
      </c>
      <c r="C84" s="28"/>
      <c r="D84" s="23">
        <f>+D20-D22+D81</f>
        <v>-4420.6400000000112</v>
      </c>
      <c r="E84" s="15"/>
      <c r="F84" s="22">
        <f>IF(D$12=0,0,D84/D$12)</f>
        <v>-3.6234522435020587E-2</v>
      </c>
      <c r="G84" s="15"/>
      <c r="H84" s="23">
        <f>+H20-H22+H81</f>
        <v>-54150.95</v>
      </c>
      <c r="I84" s="15"/>
      <c r="J84" s="22">
        <f>IF(H$12=0,0,H84/H$12)</f>
        <v>0</v>
      </c>
      <c r="K84" s="17"/>
      <c r="L84" s="23">
        <f>+D84-H84</f>
        <v>49730.309999999983</v>
      </c>
      <c r="M84" s="17"/>
      <c r="N84" s="22">
        <f>IF(H84=0,0,L84/H84)</f>
        <v>-0.91836449776042683</v>
      </c>
      <c r="O84" s="27"/>
      <c r="P84" s="23">
        <f>+P20-P22+P81</f>
        <v>-314890.39000000013</v>
      </c>
      <c r="Q84" s="15"/>
      <c r="R84" s="22">
        <f>IF(P$12=0,0,P84/P$12)</f>
        <v>-0.71323417059931427</v>
      </c>
      <c r="S84" s="15"/>
      <c r="T84" s="23">
        <f>+T20-T22+T81</f>
        <v>-470557.42</v>
      </c>
      <c r="U84" s="15"/>
      <c r="V84" s="22">
        <f>IF(T$12=0,0,T84/T$12)</f>
        <v>-10.425393203162907</v>
      </c>
      <c r="W84" s="17"/>
      <c r="X84" s="23">
        <f>+P84-T84</f>
        <v>155667.02999999985</v>
      </c>
      <c r="Y84" s="17"/>
      <c r="Z84" s="22">
        <f>IF(T84=0,0,X84/T84)</f>
        <v>-0.33081410128438704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12817.98</v>
      </c>
      <c r="E86" s="5"/>
      <c r="F86" s="13">
        <f>IF(D$12=0,0,D86/D$12)</f>
        <v>0.10506473811069077</v>
      </c>
      <c r="G86" s="5"/>
      <c r="H86" s="5">
        <v>745.16</v>
      </c>
      <c r="I86" s="5"/>
      <c r="J86" s="13">
        <f>IF(H$12=0,0,H86/H$12)</f>
        <v>0</v>
      </c>
      <c r="K86" s="5"/>
      <c r="L86" s="5">
        <f>+D86-H86</f>
        <v>12072.82</v>
      </c>
      <c r="M86" s="5"/>
      <c r="N86" s="13">
        <f>IF(H86=0,0,L86/H86)</f>
        <v>16.201647968221589</v>
      </c>
      <c r="O86" s="11"/>
      <c r="P86" s="5">
        <v>55108.79</v>
      </c>
      <c r="Q86" s="5"/>
      <c r="R86" s="13">
        <f>IF(P$12=0,0,P86/P$12)</f>
        <v>0.12482271093881832</v>
      </c>
      <c r="S86" s="5"/>
      <c r="T86" s="5">
        <v>8938.48</v>
      </c>
      <c r="U86" s="5"/>
      <c r="V86" s="13">
        <f>IF(T$12=0,0,T86/T$12)</f>
        <v>0.1980357012298469</v>
      </c>
      <c r="W86" s="5"/>
      <c r="X86" s="5">
        <f>+P86-T86</f>
        <v>46170.31</v>
      </c>
      <c r="Y86" s="5"/>
      <c r="Z86" s="13">
        <f>IF(T86=0,0,X86/T86)</f>
        <v>5.1653424295853432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8" t="s">
        <v>293</v>
      </c>
      <c r="C88" s="28"/>
      <c r="D88" s="33">
        <f>+D84-D86</f>
        <v>-17238.62000000001</v>
      </c>
      <c r="E88" s="15"/>
      <c r="F88" s="34">
        <f>IF(D$12=0,0,D88/D$12)</f>
        <v>-0.14129926054571135</v>
      </c>
      <c r="G88" s="15"/>
      <c r="H88" s="33">
        <f>+H84-H86</f>
        <v>-54896.11</v>
      </c>
      <c r="I88" s="15"/>
      <c r="J88" s="34">
        <f>IF(H$12=0,0,H88/H$12)</f>
        <v>0</v>
      </c>
      <c r="K88" s="17"/>
      <c r="L88" s="33">
        <f>D88-H88</f>
        <v>37657.489999999991</v>
      </c>
      <c r="M88" s="17"/>
      <c r="N88" s="34">
        <f>IF(H88=0,0,L88/H88)</f>
        <v>-0.68597738528285501</v>
      </c>
      <c r="O88" s="27"/>
      <c r="P88" s="33">
        <f>+P84-P86</f>
        <v>-369999.18000000011</v>
      </c>
      <c r="Q88" s="15"/>
      <c r="R88" s="34">
        <f>IF(P$12=0,0,P88/P$12)</f>
        <v>-0.83805688153813251</v>
      </c>
      <c r="S88" s="15"/>
      <c r="T88" s="33">
        <f>+T84-T86</f>
        <v>-479495.89999999997</v>
      </c>
      <c r="U88" s="15"/>
      <c r="V88" s="34">
        <f>IF(T$12=0,0,T88/T$12)</f>
        <v>-10.623428904392753</v>
      </c>
      <c r="W88" s="17"/>
      <c r="X88" s="33">
        <f>P88-T88</f>
        <v>109496.71999999986</v>
      </c>
      <c r="Y88" s="17"/>
      <c r="Z88" s="34">
        <f>IF(T88=0,0,X88/T88)</f>
        <v>-0.22835799013088509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8" t="s">
        <v>296</v>
      </c>
      <c r="C91" s="28"/>
      <c r="D91" s="35">
        <f>SUM(D88:D90)</f>
        <v>-17238.62000000001</v>
      </c>
      <c r="E91" s="15"/>
      <c r="F91" s="29">
        <f>IF(D$12=0,0,D91/D$12)</f>
        <v>-0.14129926054571135</v>
      </c>
      <c r="G91" s="15"/>
      <c r="H91" s="35">
        <f>SUM(H88:H90)</f>
        <v>-54896.11</v>
      </c>
      <c r="I91" s="15"/>
      <c r="J91" s="29">
        <f>IF(H$12=0,0,H91/H$12)</f>
        <v>0</v>
      </c>
      <c r="K91" s="17"/>
      <c r="L91" s="35">
        <f>+D91-H91</f>
        <v>37657.489999999991</v>
      </c>
      <c r="M91" s="17"/>
      <c r="N91" s="29">
        <f>IF(H91=0,0,L91/H91)</f>
        <v>-0.68597738528285501</v>
      </c>
      <c r="O91" s="27"/>
      <c r="P91" s="35">
        <f>SUM(P88:P90)</f>
        <v>-369999.18000000011</v>
      </c>
      <c r="Q91" s="15"/>
      <c r="R91" s="29">
        <f>IF(P$12=0,0,P91/P$12)</f>
        <v>-0.83805688153813251</v>
      </c>
      <c r="S91" s="15"/>
      <c r="T91" s="35">
        <f>SUM(T88:T90)</f>
        <v>-479495.89999999997</v>
      </c>
      <c r="U91" s="15"/>
      <c r="V91" s="29">
        <f>IF(T$12=0,0,T91/T$12)</f>
        <v>-10.623428904392753</v>
      </c>
      <c r="W91" s="17"/>
      <c r="X91" s="35">
        <f>+P91-T91</f>
        <v>109496.71999999986</v>
      </c>
      <c r="Y91" s="17"/>
      <c r="Z91" s="29">
        <f>IF(T91=0,0,X91/T91)</f>
        <v>-0.22835799013088509</v>
      </c>
    </row>
    <row r="92" spans="1:26" ht="15" customHeight="1" x14ac:dyDescent="0.3">
      <c r="A92" s="10"/>
      <c r="C92" s="10"/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3">
      <c r="A93" s="10"/>
      <c r="B93" s="50">
        <v>44634.887810300927</v>
      </c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3">
      <c r="A94" s="10"/>
      <c r="B94" s="58" t="s">
        <v>297</v>
      </c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3">
      <c r="A95" s="10"/>
      <c r="B95" s="56"/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3"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6BE7-964A-56EC-2C32-918B4E6C6E28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","418"," - ","Nugget")</f>
        <v>Department 418 - Nugget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1349.42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1349.42</v>
      </c>
      <c r="Y14" s="5"/>
      <c r="Z14" s="13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1349.42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1349.42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D12-D14</f>
        <v>0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0</v>
      </c>
      <c r="M17" s="17"/>
      <c r="N17" s="22">
        <f>IF(H17=0,0,L17/H17)</f>
        <v>0</v>
      </c>
      <c r="O17" s="27"/>
      <c r="P17" s="23">
        <f>P12-P14</f>
        <v>-1349.42</v>
      </c>
      <c r="Q17" s="15"/>
      <c r="R17" s="22">
        <f>IF(P$12=0,0,P17/P$12)</f>
        <v>0</v>
      </c>
      <c r="S17" s="15"/>
      <c r="T17" s="23">
        <f>T12-T14</f>
        <v>0</v>
      </c>
      <c r="U17" s="15"/>
      <c r="V17" s="22">
        <f>IF(T$12=0,0,T17/T$12)</f>
        <v>0</v>
      </c>
      <c r="W17" s="17"/>
      <c r="X17" s="23">
        <f>+P17-T17</f>
        <v>-1349.42</v>
      </c>
      <c r="Y17" s="17"/>
      <c r="Z17" s="22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 cm="1">
        <f t="array" ref="D19">SUM(OSRRefD22x_0)</f>
        <v>17149.019999999997</v>
      </c>
      <c r="E19" s="21"/>
      <c r="F19" s="30">
        <f t="shared" ref="F19:F63" si="0">IF(D$12=0,0,D19/D$12)</f>
        <v>0</v>
      </c>
      <c r="G19" s="21"/>
      <c r="H19" s="21" cm="1">
        <f t="array" ref="H19">SUM(OSRRefH22x_0)</f>
        <v>8430.17</v>
      </c>
      <c r="I19" s="21"/>
      <c r="J19" s="30">
        <f t="shared" ref="J19:J63" si="1">IF(H$12=0,0,H19/H$12)</f>
        <v>0</v>
      </c>
      <c r="K19" s="5"/>
      <c r="L19" s="21">
        <f t="shared" ref="L19:L63" si="2">+D19-H19</f>
        <v>8718.8499999999967</v>
      </c>
      <c r="M19" s="5"/>
      <c r="N19" s="30">
        <f t="shared" ref="N19:N63" si="3">IF(H19=0,0,L19/H19)</f>
        <v>1.0342436748013382</v>
      </c>
      <c r="O19" s="11"/>
      <c r="P19" s="21" cm="1">
        <f t="array" ref="P19">SUM(OSRRefP22x_0)</f>
        <v>137293.17000000004</v>
      </c>
      <c r="Q19" s="21"/>
      <c r="R19" s="30">
        <f t="shared" ref="R19:R63" si="4">IF(P$12=0,0,P19/P$12)</f>
        <v>0</v>
      </c>
      <c r="S19" s="21"/>
      <c r="T19" s="21" cm="1">
        <f t="array" ref="T19">SUM(OSRRefT22x_0)</f>
        <v>67456.990000000005</v>
      </c>
      <c r="U19" s="21"/>
      <c r="V19" s="30">
        <f t="shared" ref="V19:V63" si="5">IF(T$12=0,0,T19/T$12)</f>
        <v>0</v>
      </c>
      <c r="W19" s="5"/>
      <c r="X19" s="21">
        <f t="shared" ref="X19:X63" si="6">+P19-T19</f>
        <v>69836.180000000037</v>
      </c>
      <c r="Y19" s="5"/>
      <c r="Z19" s="30">
        <f t="shared" ref="Z19:Z63" si="7">IF(T19=0,0,X19/T19)</f>
        <v>1.0352697326103646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2392.87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2392.87</v>
      </c>
      <c r="M20" s="2"/>
      <c r="N20" s="6">
        <f t="shared" si="3"/>
        <v>0</v>
      </c>
      <c r="O20" s="14"/>
      <c r="P20" s="2">
        <f>SUM(OSRRefP22_0x_0)</f>
        <v>21725.640000000003</v>
      </c>
      <c r="Q20" s="2"/>
      <c r="R20" s="6">
        <f t="shared" si="4"/>
        <v>0</v>
      </c>
      <c r="S20" s="2"/>
      <c r="T20" s="2">
        <f>SUM(OSRRefT22_0x_0)</f>
        <v>6086.32</v>
      </c>
      <c r="U20" s="2"/>
      <c r="V20" s="6">
        <f t="shared" si="5"/>
        <v>0</v>
      </c>
      <c r="W20" s="2"/>
      <c r="X20" s="2">
        <f t="shared" si="6"/>
        <v>15639.320000000003</v>
      </c>
      <c r="Y20" s="2"/>
      <c r="Z20" s="6">
        <f t="shared" si="7"/>
        <v>2.569585562375952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429.42</v>
      </c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429.42</v>
      </c>
      <c r="M21" s="3"/>
      <c r="N21" s="7">
        <f t="shared" si="3"/>
        <v>0</v>
      </c>
      <c r="O21" s="12"/>
      <c r="P21" s="8">
        <v>3200.74</v>
      </c>
      <c r="Q21" s="3"/>
      <c r="R21" s="7">
        <f t="shared" si="4"/>
        <v>0</v>
      </c>
      <c r="S21" s="3"/>
      <c r="T21" s="8">
        <v>237.51</v>
      </c>
      <c r="U21" s="3"/>
      <c r="V21" s="7">
        <f t="shared" si="5"/>
        <v>0</v>
      </c>
      <c r="W21" s="3"/>
      <c r="X21" s="8">
        <f t="shared" si="6"/>
        <v>2963.2299999999996</v>
      </c>
      <c r="Y21" s="3"/>
      <c r="Z21" s="7">
        <f t="shared" si="7"/>
        <v>12.476232579680854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202.09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202.09</v>
      </c>
      <c r="M22" s="3"/>
      <c r="N22" s="7">
        <f t="shared" si="3"/>
        <v>0</v>
      </c>
      <c r="O22" s="12"/>
      <c r="P22" s="8">
        <v>1403.95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1403.95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652.17999999999995</v>
      </c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652.17999999999995</v>
      </c>
      <c r="M23" s="3"/>
      <c r="N23" s="7">
        <f t="shared" si="3"/>
        <v>0</v>
      </c>
      <c r="O23" s="12"/>
      <c r="P23" s="8">
        <v>11401.62</v>
      </c>
      <c r="Q23" s="3"/>
      <c r="R23" s="7">
        <f t="shared" si="4"/>
        <v>0</v>
      </c>
      <c r="S23" s="3"/>
      <c r="T23" s="8">
        <v>4780.67</v>
      </c>
      <c r="U23" s="3"/>
      <c r="V23" s="7">
        <f t="shared" si="5"/>
        <v>0</v>
      </c>
      <c r="W23" s="3"/>
      <c r="X23" s="8">
        <f t="shared" si="6"/>
        <v>6620.9500000000007</v>
      </c>
      <c r="Y23" s="3"/>
      <c r="Z23" s="7">
        <f t="shared" si="7"/>
        <v>1.3849418596138199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14.6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14.6</v>
      </c>
      <c r="M24" s="3"/>
      <c r="N24" s="7">
        <f t="shared" si="3"/>
        <v>0</v>
      </c>
      <c r="O24" s="12"/>
      <c r="P24" s="8">
        <v>102.77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102.77</v>
      </c>
      <c r="Y24" s="3"/>
      <c r="Z24" s="7">
        <f t="shared" si="7"/>
        <v>0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399.36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399.36</v>
      </c>
      <c r="M25" s="3"/>
      <c r="N25" s="7">
        <f t="shared" si="3"/>
        <v>0</v>
      </c>
      <c r="O25" s="12"/>
      <c r="P25" s="8">
        <v>1303.1500000000001</v>
      </c>
      <c r="Q25" s="3"/>
      <c r="R25" s="7">
        <f t="shared" si="4"/>
        <v>0</v>
      </c>
      <c r="S25" s="3"/>
      <c r="T25" s="8">
        <v>678.15</v>
      </c>
      <c r="U25" s="3"/>
      <c r="V25" s="7">
        <f t="shared" si="5"/>
        <v>0</v>
      </c>
      <c r="W25" s="3"/>
      <c r="X25" s="8">
        <f t="shared" si="6"/>
        <v>625.00000000000011</v>
      </c>
      <c r="Y25" s="3"/>
      <c r="Z25" s="7">
        <f t="shared" si="7"/>
        <v>0.92162500921625035</v>
      </c>
    </row>
    <row r="26" spans="1:26" s="69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213.24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213.24</v>
      </c>
      <c r="M26" s="3"/>
      <c r="N26" s="7">
        <f t="shared" si="3"/>
        <v>0</v>
      </c>
      <c r="O26" s="12"/>
      <c r="P26" s="8">
        <v>1457.66</v>
      </c>
      <c r="Q26" s="3"/>
      <c r="R26" s="7">
        <f t="shared" si="4"/>
        <v>0</v>
      </c>
      <c r="S26" s="3"/>
      <c r="T26" s="8">
        <v>248.21</v>
      </c>
      <c r="U26" s="3"/>
      <c r="V26" s="7">
        <f t="shared" si="5"/>
        <v>0</v>
      </c>
      <c r="W26" s="3"/>
      <c r="X26" s="8">
        <f t="shared" si="6"/>
        <v>1209.45</v>
      </c>
      <c r="Y26" s="3"/>
      <c r="Z26" s="7">
        <f t="shared" si="7"/>
        <v>4.872688449296966</v>
      </c>
    </row>
    <row r="27" spans="1:26" s="69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255.46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255.46</v>
      </c>
      <c r="M27" s="3"/>
      <c r="N27" s="7">
        <f t="shared" si="3"/>
        <v>0</v>
      </c>
      <c r="O27" s="12"/>
      <c r="P27" s="8">
        <v>1567.57</v>
      </c>
      <c r="Q27" s="3"/>
      <c r="R27" s="7">
        <f t="shared" si="4"/>
        <v>0</v>
      </c>
      <c r="S27" s="3"/>
      <c r="T27" s="8">
        <v>141.78</v>
      </c>
      <c r="U27" s="3"/>
      <c r="V27" s="7">
        <f t="shared" si="5"/>
        <v>0</v>
      </c>
      <c r="W27" s="3"/>
      <c r="X27" s="8">
        <f t="shared" si="6"/>
        <v>1425.79</v>
      </c>
      <c r="Y27" s="3"/>
      <c r="Z27" s="7">
        <f t="shared" si="7"/>
        <v>10.056354916067146</v>
      </c>
    </row>
    <row r="28" spans="1:26" s="69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226.52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226.52</v>
      </c>
      <c r="M28" s="3"/>
      <c r="N28" s="7">
        <f t="shared" si="3"/>
        <v>0</v>
      </c>
      <c r="O28" s="12"/>
      <c r="P28" s="8">
        <v>1288.18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1288.18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5261.56</v>
      </c>
      <c r="E29" s="2"/>
      <c r="F29" s="6">
        <f t="shared" si="0"/>
        <v>0</v>
      </c>
      <c r="G29" s="2"/>
      <c r="H29" s="2">
        <f>SUM(OSRRefH22_1x_0)</f>
        <v>0</v>
      </c>
      <c r="I29" s="2"/>
      <c r="J29" s="6">
        <f t="shared" si="1"/>
        <v>0</v>
      </c>
      <c r="K29" s="2"/>
      <c r="L29" s="2">
        <f t="shared" si="2"/>
        <v>5261.56</v>
      </c>
      <c r="M29" s="2"/>
      <c r="N29" s="6">
        <f t="shared" si="3"/>
        <v>0</v>
      </c>
      <c r="O29" s="14"/>
      <c r="P29" s="2">
        <f>SUM(OSRRefP22_1x_0)</f>
        <v>41170.979999999996</v>
      </c>
      <c r="Q29" s="2"/>
      <c r="R29" s="6">
        <f t="shared" si="4"/>
        <v>0</v>
      </c>
      <c r="S29" s="2"/>
      <c r="T29" s="2">
        <f>SUM(OSRRefT22_1x_0)</f>
        <v>2151.69</v>
      </c>
      <c r="U29" s="2"/>
      <c r="V29" s="6">
        <f t="shared" si="5"/>
        <v>0</v>
      </c>
      <c r="W29" s="2"/>
      <c r="X29" s="2">
        <f t="shared" si="6"/>
        <v>39019.289999999994</v>
      </c>
      <c r="Y29" s="2"/>
      <c r="Z29" s="6">
        <f t="shared" si="7"/>
        <v>18.134252610738532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5261.56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5261.56</v>
      </c>
      <c r="M30" s="3"/>
      <c r="N30" s="7">
        <f t="shared" si="3"/>
        <v>0</v>
      </c>
      <c r="O30" s="12"/>
      <c r="P30" s="8">
        <v>18554.28</v>
      </c>
      <c r="Q30" s="3"/>
      <c r="R30" s="7">
        <f t="shared" si="4"/>
        <v>0</v>
      </c>
      <c r="S30" s="3"/>
      <c r="T30" s="8">
        <v>2151.69</v>
      </c>
      <c r="U30" s="3"/>
      <c r="V30" s="7">
        <f t="shared" si="5"/>
        <v>0</v>
      </c>
      <c r="W30" s="3"/>
      <c r="X30" s="8">
        <f t="shared" si="6"/>
        <v>16402.59</v>
      </c>
      <c r="Y30" s="3"/>
      <c r="Z30" s="7">
        <f t="shared" si="7"/>
        <v>7.6231195014151663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14370.65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14370.65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8246.0499999999993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8246.0499999999993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","6007"," - ","STUDENT HOURLY")</f>
        <v xml:space="preserve">          6007 - STUDENT HOURLY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0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5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SUM(OSRRefP22_2x_0)</f>
        <v>263.58</v>
      </c>
      <c r="Q34" s="2"/>
      <c r="R34" s="6">
        <f t="shared" si="4"/>
        <v>0</v>
      </c>
      <c r="S34" s="2"/>
      <c r="T34" s="2">
        <f>SUM(OSRRefT22_2x_0)</f>
        <v>0</v>
      </c>
      <c r="U34" s="2"/>
      <c r="V34" s="6">
        <f t="shared" si="5"/>
        <v>0</v>
      </c>
      <c r="W34" s="2"/>
      <c r="X34" s="2">
        <f t="shared" si="6"/>
        <v>263.58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","6362"," - ","ADVERTISING EXPENSE")</f>
        <v xml:space="preserve">          6362 - ADVERTISING EXPENSE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263.58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263.58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0</v>
      </c>
      <c r="E36" s="2"/>
      <c r="F36" s="6">
        <f t="shared" si="0"/>
        <v>0</v>
      </c>
      <c r="G36" s="2"/>
      <c r="H36" s="2">
        <f>SUM(OSRRefH22_3x_0)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SUM(OSRRefP22_3x_0)</f>
        <v>0.64</v>
      </c>
      <c r="Q36" s="2"/>
      <c r="R36" s="6">
        <f t="shared" si="4"/>
        <v>0</v>
      </c>
      <c r="S36" s="2"/>
      <c r="T36" s="2">
        <f>SUM(OSRRefT22_3x_0)</f>
        <v>0</v>
      </c>
      <c r="U36" s="2"/>
      <c r="V36" s="6">
        <f t="shared" si="5"/>
        <v>0</v>
      </c>
      <c r="W36" s="2"/>
      <c r="X36" s="2">
        <f t="shared" si="6"/>
        <v>0.64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","6381"," - ","BANK/CREDIT CARD FEES")</f>
        <v xml:space="preserve">          6381 - BANK/CREDIT CARD FEES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0.64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0.64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6701.08</v>
      </c>
      <c r="E38" s="2"/>
      <c r="F38" s="6">
        <f t="shared" si="0"/>
        <v>0</v>
      </c>
      <c r="G38" s="2"/>
      <c r="H38" s="2">
        <f>SUM(OSRRefH22_4x_0)</f>
        <v>6745.17</v>
      </c>
      <c r="I38" s="2"/>
      <c r="J38" s="6">
        <f t="shared" si="1"/>
        <v>0</v>
      </c>
      <c r="K38" s="2"/>
      <c r="L38" s="2">
        <f t="shared" si="2"/>
        <v>-44.090000000000146</v>
      </c>
      <c r="M38" s="2"/>
      <c r="N38" s="6">
        <f t="shared" si="3"/>
        <v>-6.5365291015645486E-3</v>
      </c>
      <c r="O38" s="14"/>
      <c r="P38" s="2">
        <f>SUM(OSRRefP22_4x_0)</f>
        <v>53696.78</v>
      </c>
      <c r="Q38" s="2"/>
      <c r="R38" s="6">
        <f t="shared" si="4"/>
        <v>0</v>
      </c>
      <c r="S38" s="2"/>
      <c r="T38" s="2">
        <f>SUM(OSRRefT22_4x_0)</f>
        <v>55258.51</v>
      </c>
      <c r="U38" s="2"/>
      <c r="V38" s="6">
        <f t="shared" si="5"/>
        <v>0</v>
      </c>
      <c r="W38" s="2"/>
      <c r="X38" s="2">
        <f t="shared" si="6"/>
        <v>-1561.7300000000032</v>
      </c>
      <c r="Y38" s="2"/>
      <c r="Z38" s="6">
        <f t="shared" si="7"/>
        <v>-2.8262253180550891E-2</v>
      </c>
    </row>
    <row r="39" spans="1:26" s="69" customFormat="1" ht="15" hidden="1" customHeight="1" outlineLevel="2" x14ac:dyDescent="0.3">
      <c r="A39" s="26"/>
      <c r="B39" s="12" t="str">
        <f>CONCATENATE("          ","6321"," - ","BUILDING DEPRECIATION")</f>
        <v xml:space="preserve">          6321 - BUILDING DEPRECIATION</v>
      </c>
      <c r="C39" s="12"/>
      <c r="D39" s="8">
        <v>6492.96</v>
      </c>
      <c r="E39" s="3"/>
      <c r="F39" s="7">
        <f t="shared" si="0"/>
        <v>0</v>
      </c>
      <c r="G39" s="3"/>
      <c r="H39" s="8">
        <v>6537.05</v>
      </c>
      <c r="I39" s="3"/>
      <c r="J39" s="7">
        <f t="shared" si="1"/>
        <v>0</v>
      </c>
      <c r="K39" s="3"/>
      <c r="L39" s="8">
        <f t="shared" si="2"/>
        <v>-44.090000000000146</v>
      </c>
      <c r="M39" s="3"/>
      <c r="N39" s="7">
        <f t="shared" si="3"/>
        <v>-6.7446325177259077E-3</v>
      </c>
      <c r="O39" s="12"/>
      <c r="P39" s="8">
        <v>52031.82</v>
      </c>
      <c r="Q39" s="3"/>
      <c r="R39" s="7">
        <f t="shared" si="4"/>
        <v>0</v>
      </c>
      <c r="S39" s="3"/>
      <c r="T39" s="8">
        <v>52296.4</v>
      </c>
      <c r="U39" s="3"/>
      <c r="V39" s="7">
        <f t="shared" si="5"/>
        <v>0</v>
      </c>
      <c r="W39" s="3"/>
      <c r="X39" s="8">
        <f t="shared" si="6"/>
        <v>-264.58000000000175</v>
      </c>
      <c r="Y39" s="3"/>
      <c r="Z39" s="7">
        <f t="shared" si="7"/>
        <v>-5.0592392592989522E-3</v>
      </c>
    </row>
    <row r="40" spans="1:26" s="69" customFormat="1" ht="15" hidden="1" customHeight="1" outlineLevel="2" x14ac:dyDescent="0.3">
      <c r="A40" s="26"/>
      <c r="B40" s="12" t="str">
        <f>CONCATENATE("          ","6322"," - ","EQUIPMENT DEPRECIATION EXPENSE")</f>
        <v xml:space="preserve">          6322 - EQUIPMENT DEPRECIATION EXPENSE</v>
      </c>
      <c r="C40" s="12"/>
      <c r="D40" s="8">
        <v>208.12</v>
      </c>
      <c r="E40" s="3"/>
      <c r="F40" s="7">
        <f t="shared" si="0"/>
        <v>0</v>
      </c>
      <c r="G40" s="3"/>
      <c r="H40" s="8">
        <v>208.12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1664.96</v>
      </c>
      <c r="Q40" s="3"/>
      <c r="R40" s="7">
        <f t="shared" si="4"/>
        <v>0</v>
      </c>
      <c r="S40" s="3"/>
      <c r="T40" s="8">
        <v>2962.11</v>
      </c>
      <c r="U40" s="3"/>
      <c r="V40" s="7">
        <f t="shared" si="5"/>
        <v>0</v>
      </c>
      <c r="W40" s="3"/>
      <c r="X40" s="8">
        <f t="shared" si="6"/>
        <v>-1297.1500000000001</v>
      </c>
      <c r="Y40" s="3"/>
      <c r="Z40" s="7">
        <f t="shared" si="7"/>
        <v>-0.43791418954731592</v>
      </c>
    </row>
    <row r="41" spans="1:26" s="68" customFormat="1" ht="15" customHeight="1" outlineLevel="1" collapsed="1" x14ac:dyDescent="0.3">
      <c r="A41" s="25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49.95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49.95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","6277"," - ","EMPLOYEE APPRECIATION")</f>
        <v xml:space="preserve">          6277 - EMPLOYEE APPRECIATION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49.95</v>
      </c>
      <c r="Q42" s="3"/>
      <c r="R42" s="7">
        <f t="shared" si="4"/>
        <v>0</v>
      </c>
      <c r="S42" s="3"/>
      <c r="T42" s="8"/>
      <c r="U42" s="3"/>
      <c r="V42" s="7">
        <f t="shared" si="5"/>
        <v>0</v>
      </c>
      <c r="W42" s="3"/>
      <c r="X42" s="8">
        <f t="shared" si="6"/>
        <v>49.95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517.09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517.09</v>
      </c>
      <c r="M43" s="2"/>
      <c r="N43" s="6">
        <f t="shared" si="3"/>
        <v>0</v>
      </c>
      <c r="O43" s="14"/>
      <c r="P43" s="2">
        <f>SUM(OSRRefP22_6x_0)</f>
        <v>4166.76</v>
      </c>
      <c r="Q43" s="2"/>
      <c r="R43" s="6">
        <f t="shared" si="4"/>
        <v>0</v>
      </c>
      <c r="S43" s="2"/>
      <c r="T43" s="2">
        <f>SUM(OSRRefT22_6x_0)</f>
        <v>263.72000000000003</v>
      </c>
      <c r="U43" s="2"/>
      <c r="V43" s="6">
        <f t="shared" si="5"/>
        <v>0</v>
      </c>
      <c r="W43" s="2"/>
      <c r="X43" s="2">
        <f t="shared" si="6"/>
        <v>3903.04</v>
      </c>
      <c r="Y43" s="2"/>
      <c r="Z43" s="6">
        <f t="shared" si="7"/>
        <v>14.799939329591989</v>
      </c>
    </row>
    <row r="44" spans="1:26" s="69" customFormat="1" ht="15" hidden="1" customHeight="1" outlineLevel="2" x14ac:dyDescent="0.3">
      <c r="A44" s="26"/>
      <c r="B44" s="12" t="str">
        <f>CONCATENATE("          ","6351"," - ","EQUIPMENT RENTAL")</f>
        <v xml:space="preserve">          6351 - EQUIPMENT RENTAL</v>
      </c>
      <c r="C44" s="12"/>
      <c r="D44" s="8">
        <v>517.09</v>
      </c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517.09</v>
      </c>
      <c r="M44" s="3"/>
      <c r="N44" s="7">
        <f t="shared" si="3"/>
        <v>0</v>
      </c>
      <c r="O44" s="12"/>
      <c r="P44" s="8">
        <v>4166.76</v>
      </c>
      <c r="Q44" s="3"/>
      <c r="R44" s="7">
        <f t="shared" si="4"/>
        <v>0</v>
      </c>
      <c r="S44" s="3"/>
      <c r="T44" s="8">
        <v>263.72000000000003</v>
      </c>
      <c r="U44" s="3"/>
      <c r="V44" s="7">
        <f t="shared" si="5"/>
        <v>0</v>
      </c>
      <c r="W44" s="3"/>
      <c r="X44" s="8">
        <f t="shared" si="6"/>
        <v>3903.04</v>
      </c>
      <c r="Y44" s="3"/>
      <c r="Z44" s="7">
        <f t="shared" si="7"/>
        <v>14.799939329591989</v>
      </c>
    </row>
    <row r="45" spans="1:26" s="68" customFormat="1" ht="15" customHeight="1" outlineLevel="1" collapsed="1" x14ac:dyDescent="0.3">
      <c r="A45" s="25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1760</v>
      </c>
      <c r="E45" s="2"/>
      <c r="F45" s="6">
        <f t="shared" si="0"/>
        <v>0</v>
      </c>
      <c r="G45" s="2"/>
      <c r="H45" s="2">
        <f>SUM(OSRRefH22_7x_0)</f>
        <v>1685</v>
      </c>
      <c r="I45" s="2"/>
      <c r="J45" s="6">
        <f t="shared" si="1"/>
        <v>0</v>
      </c>
      <c r="K45" s="2"/>
      <c r="L45" s="2">
        <f t="shared" si="2"/>
        <v>75</v>
      </c>
      <c r="M45" s="2"/>
      <c r="N45" s="6">
        <f t="shared" si="3"/>
        <v>4.4510385756676561E-2</v>
      </c>
      <c r="O45" s="14"/>
      <c r="P45" s="2">
        <f>SUM(OSRRefP22_7x_0)</f>
        <v>3074.55</v>
      </c>
      <c r="Q45" s="2"/>
      <c r="R45" s="6">
        <f t="shared" si="4"/>
        <v>0</v>
      </c>
      <c r="S45" s="2"/>
      <c r="T45" s="2">
        <f>SUM(OSRRefT22_7x_0)</f>
        <v>2969.55</v>
      </c>
      <c r="U45" s="2"/>
      <c r="V45" s="6">
        <f t="shared" si="5"/>
        <v>0</v>
      </c>
      <c r="W45" s="2"/>
      <c r="X45" s="2">
        <f t="shared" si="6"/>
        <v>105</v>
      </c>
      <c r="Y45" s="2"/>
      <c r="Z45" s="6">
        <f t="shared" si="7"/>
        <v>3.5358892761529523E-2</v>
      </c>
    </row>
    <row r="46" spans="1:26" s="69" customFormat="1" ht="15" hidden="1" customHeight="1" outlineLevel="2" x14ac:dyDescent="0.3">
      <c r="A46" s="26"/>
      <c r="B46" s="12" t="str">
        <f>CONCATENATE("          ","6279"," - ","GENERAL EXPENSE")</f>
        <v xml:space="preserve">          6279 - GENERAL EXPENSE</v>
      </c>
      <c r="C46" s="12"/>
      <c r="D46" s="8">
        <v>1760</v>
      </c>
      <c r="E46" s="3"/>
      <c r="F46" s="7">
        <f t="shared" si="0"/>
        <v>0</v>
      </c>
      <c r="G46" s="3"/>
      <c r="H46" s="8">
        <v>1685</v>
      </c>
      <c r="I46" s="3"/>
      <c r="J46" s="7">
        <f t="shared" si="1"/>
        <v>0</v>
      </c>
      <c r="K46" s="3"/>
      <c r="L46" s="8">
        <f t="shared" si="2"/>
        <v>75</v>
      </c>
      <c r="M46" s="3"/>
      <c r="N46" s="7">
        <f t="shared" si="3"/>
        <v>4.4510385756676561E-2</v>
      </c>
      <c r="O46" s="12"/>
      <c r="P46" s="8">
        <v>3074.55</v>
      </c>
      <c r="Q46" s="3"/>
      <c r="R46" s="7">
        <f t="shared" si="4"/>
        <v>0</v>
      </c>
      <c r="S46" s="3"/>
      <c r="T46" s="8">
        <v>2969.55</v>
      </c>
      <c r="U46" s="3"/>
      <c r="V46" s="7">
        <f t="shared" si="5"/>
        <v>0</v>
      </c>
      <c r="W46" s="3"/>
      <c r="X46" s="8">
        <f t="shared" si="6"/>
        <v>105</v>
      </c>
      <c r="Y46" s="3"/>
      <c r="Z46" s="7">
        <f t="shared" si="7"/>
        <v>3.5358892761529523E-2</v>
      </c>
    </row>
    <row r="47" spans="1:26" s="68" customFormat="1" ht="15" customHeight="1" outlineLevel="1" collapsed="1" x14ac:dyDescent="0.3">
      <c r="A47" s="25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SUM(OSRRefD22_8x_0)</f>
        <v>0</v>
      </c>
      <c r="E47" s="2"/>
      <c r="F47" s="6">
        <f t="shared" si="0"/>
        <v>0</v>
      </c>
      <c r="G47" s="2"/>
      <c r="H47" s="2">
        <f>SUM(OSRRefH22_8x_0)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SUM(OSRRefP22_8x_0)</f>
        <v>8289.41</v>
      </c>
      <c r="Q47" s="2"/>
      <c r="R47" s="6">
        <f t="shared" si="4"/>
        <v>0</v>
      </c>
      <c r="S47" s="2"/>
      <c r="T47" s="2">
        <f>SUM(OSRRefT22_8x_0)</f>
        <v>476.33</v>
      </c>
      <c r="U47" s="2"/>
      <c r="V47" s="6">
        <f t="shared" si="5"/>
        <v>0</v>
      </c>
      <c r="W47" s="2"/>
      <c r="X47" s="2">
        <f t="shared" si="6"/>
        <v>7813.08</v>
      </c>
      <c r="Y47" s="2"/>
      <c r="Z47" s="6">
        <f t="shared" si="7"/>
        <v>16.402662020028131</v>
      </c>
    </row>
    <row r="48" spans="1:26" s="69" customFormat="1" ht="15" hidden="1" customHeight="1" outlineLevel="2" x14ac:dyDescent="0.3">
      <c r="A48" s="26"/>
      <c r="B48" s="12" t="str">
        <f>CONCATENATE("          ","6373"," - ","MAINTENANCE CONTRACTS")</f>
        <v xml:space="preserve">          6373 - MAINTENANCE CONTRACTS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3141.43</v>
      </c>
      <c r="Q48" s="3"/>
      <c r="R48" s="7">
        <f t="shared" si="4"/>
        <v>0</v>
      </c>
      <c r="S48" s="3"/>
      <c r="T48" s="8">
        <v>476.33</v>
      </c>
      <c r="U48" s="3"/>
      <c r="V48" s="7">
        <f t="shared" si="5"/>
        <v>0</v>
      </c>
      <c r="W48" s="3"/>
      <c r="X48" s="8">
        <f t="shared" si="6"/>
        <v>2665.1</v>
      </c>
      <c r="Y48" s="3"/>
      <c r="Z48" s="7">
        <f t="shared" si="7"/>
        <v>5.5950706443012201</v>
      </c>
    </row>
    <row r="49" spans="1:26" s="69" customFormat="1" ht="15" hidden="1" customHeight="1" outlineLevel="2" x14ac:dyDescent="0.3">
      <c r="A49" s="26"/>
      <c r="B49" s="12" t="str">
        <f>CONCATENATE("          ","6375"," - ","OUTSIDE REPAIRS &amp; MAINTENANCE")</f>
        <v xml:space="preserve">          6375 - OUTSIDE REPAIRS &amp;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5147.9799999999996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5147.9799999999996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5"/>
      <c r="B50" s="14" t="str">
        <f>CONCATENATE("     ","Services                                          ")</f>
        <v xml:space="preserve">     Services                                          </v>
      </c>
      <c r="C50" s="14"/>
      <c r="D50" s="2">
        <f>SUM(OSRRefD22_9x_0)</f>
        <v>0</v>
      </c>
      <c r="E50" s="2"/>
      <c r="F50" s="6">
        <f t="shared" si="0"/>
        <v>0</v>
      </c>
      <c r="G50" s="2"/>
      <c r="H50" s="2">
        <f>SUM(OSRRefH22_9x_0)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SUM(OSRRefP22_9x_0)</f>
        <v>260</v>
      </c>
      <c r="Q50" s="2"/>
      <c r="R50" s="6">
        <f t="shared" si="4"/>
        <v>0</v>
      </c>
      <c r="S50" s="2"/>
      <c r="T50" s="2">
        <f>SUM(OSRRefT22_9x_0)</f>
        <v>0</v>
      </c>
      <c r="U50" s="2"/>
      <c r="V50" s="6">
        <f t="shared" si="5"/>
        <v>0</v>
      </c>
      <c r="W50" s="2"/>
      <c r="X50" s="2">
        <f t="shared" si="6"/>
        <v>260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","6285"," - ","JANITORIAL SERVICES")</f>
        <v xml:space="preserve">          6285 - JANITORIAL SERVICES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260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260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SUM(OSRRefD22_10x_0)</f>
        <v>214.92</v>
      </c>
      <c r="E52" s="2"/>
      <c r="F52" s="6">
        <f t="shared" si="0"/>
        <v>0</v>
      </c>
      <c r="G52" s="2"/>
      <c r="H52" s="2">
        <f>SUM(OSRRefH22_10x_0)</f>
        <v>0</v>
      </c>
      <c r="I52" s="2"/>
      <c r="J52" s="6">
        <f t="shared" si="1"/>
        <v>0</v>
      </c>
      <c r="K52" s="2"/>
      <c r="L52" s="2">
        <f t="shared" si="2"/>
        <v>214.92</v>
      </c>
      <c r="M52" s="2"/>
      <c r="N52" s="6">
        <f t="shared" si="3"/>
        <v>0</v>
      </c>
      <c r="O52" s="14"/>
      <c r="P52" s="2">
        <f>SUM(OSRRefP22_10x_0)</f>
        <v>1656.04</v>
      </c>
      <c r="Q52" s="2"/>
      <c r="R52" s="6">
        <f t="shared" si="4"/>
        <v>0</v>
      </c>
      <c r="S52" s="2"/>
      <c r="T52" s="2">
        <f>SUM(OSRRefT22_10x_0)</f>
        <v>0</v>
      </c>
      <c r="U52" s="2"/>
      <c r="V52" s="6">
        <f t="shared" si="5"/>
        <v>0</v>
      </c>
      <c r="W52" s="2"/>
      <c r="X52" s="2">
        <f t="shared" si="6"/>
        <v>1656.04</v>
      </c>
      <c r="Y52" s="2"/>
      <c r="Z52" s="6">
        <f t="shared" si="7"/>
        <v>0</v>
      </c>
    </row>
    <row r="53" spans="1:26" s="69" customFormat="1" ht="15" hidden="1" customHeight="1" outlineLevel="2" x14ac:dyDescent="0.3">
      <c r="A53" s="26"/>
      <c r="B53" s="12" t="str">
        <f>CONCATENATE("          ","6275"," - ","SUBSCRIPTIONS")</f>
        <v xml:space="preserve">          6275 - SUBSCRIPTIONS</v>
      </c>
      <c r="C53" s="12"/>
      <c r="D53" s="8">
        <v>214.92</v>
      </c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214.92</v>
      </c>
      <c r="M53" s="3"/>
      <c r="N53" s="7">
        <f t="shared" si="3"/>
        <v>0</v>
      </c>
      <c r="O53" s="12"/>
      <c r="P53" s="8">
        <v>1656.04</v>
      </c>
      <c r="Q53" s="3"/>
      <c r="R53" s="7">
        <f t="shared" si="4"/>
        <v>0</v>
      </c>
      <c r="S53" s="3"/>
      <c r="T53" s="8"/>
      <c r="U53" s="3"/>
      <c r="V53" s="7">
        <f t="shared" si="5"/>
        <v>0</v>
      </c>
      <c r="W53" s="3"/>
      <c r="X53" s="8">
        <f t="shared" si="6"/>
        <v>1656.04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5"/>
      <c r="B54" s="14" t="str">
        <f>CONCATENATE("     ","Supplies                                          ")</f>
        <v xml:space="preserve">     Supplies                                          </v>
      </c>
      <c r="C54" s="14"/>
      <c r="D54" s="2">
        <f>SUM(OSRRefD22_11x_0)</f>
        <v>0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SUM(OSRRefP22_11x_0)</f>
        <v>2380.84</v>
      </c>
      <c r="Q54" s="2"/>
      <c r="R54" s="6">
        <f t="shared" si="4"/>
        <v>0</v>
      </c>
      <c r="S54" s="2"/>
      <c r="T54" s="2">
        <f>SUM(OSRRefT22_11x_0)</f>
        <v>0</v>
      </c>
      <c r="U54" s="2"/>
      <c r="V54" s="6">
        <f t="shared" si="5"/>
        <v>0</v>
      </c>
      <c r="W54" s="2"/>
      <c r="X54" s="2">
        <f t="shared" si="6"/>
        <v>2380.84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6"/>
      <c r="B55" s="12" t="str">
        <f>CONCATENATE("          ","6237"," - ","JANITORIAL SUPPLIES")</f>
        <v xml:space="preserve">          6237 - JANITORIAL SUPPLIES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796.76</v>
      </c>
      <c r="Q55" s="3"/>
      <c r="R55" s="7">
        <f t="shared" si="4"/>
        <v>0</v>
      </c>
      <c r="S55" s="3"/>
      <c r="T55" s="8"/>
      <c r="U55" s="3"/>
      <c r="V55" s="7">
        <f t="shared" si="5"/>
        <v>0</v>
      </c>
      <c r="W55" s="3"/>
      <c r="X55" s="8">
        <f t="shared" si="6"/>
        <v>796.76</v>
      </c>
      <c r="Y55" s="3"/>
      <c r="Z55" s="7">
        <f t="shared" si="7"/>
        <v>0</v>
      </c>
    </row>
    <row r="56" spans="1:26" s="69" customFormat="1" ht="15" hidden="1" customHeight="1" outlineLevel="2" x14ac:dyDescent="0.3">
      <c r="A56" s="26"/>
      <c r="B56" s="12" t="str">
        <f>CONCATENATE("          ","6239"," - ","KITCHEN SUPPLIES")</f>
        <v xml:space="preserve">          6239 - KITCHEN SUPPLIES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214.67</v>
      </c>
      <c r="Q56" s="3"/>
      <c r="R56" s="7">
        <f t="shared" si="4"/>
        <v>0</v>
      </c>
      <c r="S56" s="3"/>
      <c r="T56" s="8"/>
      <c r="U56" s="3"/>
      <c r="V56" s="7">
        <f t="shared" si="5"/>
        <v>0</v>
      </c>
      <c r="W56" s="3"/>
      <c r="X56" s="8">
        <f t="shared" si="6"/>
        <v>214.67</v>
      </c>
      <c r="Y56" s="3"/>
      <c r="Z56" s="7">
        <f t="shared" si="7"/>
        <v>0</v>
      </c>
    </row>
    <row r="57" spans="1:26" s="69" customFormat="1" ht="15" hidden="1" customHeight="1" outlineLevel="2" x14ac:dyDescent="0.3">
      <c r="A57" s="26"/>
      <c r="B57" s="12" t="str">
        <f>CONCATENATE("          ","6241"," - ","OFFICE EXPENSE")</f>
        <v xml:space="preserve">          6241 - OFFICE EXPENSE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>
        <v>893.22</v>
      </c>
      <c r="Q57" s="3"/>
      <c r="R57" s="7">
        <f t="shared" si="4"/>
        <v>0</v>
      </c>
      <c r="S57" s="3"/>
      <c r="T57" s="8"/>
      <c r="U57" s="3"/>
      <c r="V57" s="7">
        <f t="shared" si="5"/>
        <v>0</v>
      </c>
      <c r="W57" s="3"/>
      <c r="X57" s="8">
        <f t="shared" si="6"/>
        <v>893.22</v>
      </c>
      <c r="Y57" s="3"/>
      <c r="Z57" s="7">
        <f t="shared" si="7"/>
        <v>0</v>
      </c>
    </row>
    <row r="58" spans="1:26" s="69" customFormat="1" ht="15" hidden="1" customHeight="1" outlineLevel="2" x14ac:dyDescent="0.3">
      <c r="A58" s="26"/>
      <c r="B58" s="12" t="str">
        <f>CONCATENATE("          ","6243"," - ","PAPER SUPPLIES")</f>
        <v xml:space="preserve">          6243 - PAPER SUPPLIES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>
        <v>138.19</v>
      </c>
      <c r="Q58" s="3"/>
      <c r="R58" s="7">
        <f t="shared" si="4"/>
        <v>0</v>
      </c>
      <c r="S58" s="3"/>
      <c r="T58" s="8"/>
      <c r="U58" s="3"/>
      <c r="V58" s="7">
        <f t="shared" si="5"/>
        <v>0</v>
      </c>
      <c r="W58" s="3"/>
      <c r="X58" s="8">
        <f t="shared" si="6"/>
        <v>138.19</v>
      </c>
      <c r="Y58" s="3"/>
      <c r="Z58" s="7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","6245"," - ","PRINTING")</f>
        <v xml:space="preserve">          6245 - PRINTING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338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338</v>
      </c>
      <c r="Y59" s="3"/>
      <c r="Z59" s="7">
        <f t="shared" si="7"/>
        <v>0</v>
      </c>
    </row>
    <row r="60" spans="1:26" s="68" customFormat="1" ht="15" customHeight="1" outlineLevel="1" collapsed="1" x14ac:dyDescent="0.3">
      <c r="A60" s="25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SUM(OSRRefD22_12x_0)</f>
        <v>181.5</v>
      </c>
      <c r="E60" s="2"/>
      <c r="F60" s="6">
        <f t="shared" si="0"/>
        <v>0</v>
      </c>
      <c r="G60" s="2"/>
      <c r="H60" s="2">
        <f>SUM(OSRRefH22_12x_0)</f>
        <v>0</v>
      </c>
      <c r="I60" s="2"/>
      <c r="J60" s="6">
        <f t="shared" si="1"/>
        <v>0</v>
      </c>
      <c r="K60" s="2"/>
      <c r="L60" s="2">
        <f t="shared" si="2"/>
        <v>181.5</v>
      </c>
      <c r="M60" s="2"/>
      <c r="N60" s="6">
        <f t="shared" si="3"/>
        <v>0</v>
      </c>
      <c r="O60" s="14"/>
      <c r="P60" s="2">
        <f>SUM(OSRRefP22_12x_0)</f>
        <v>438</v>
      </c>
      <c r="Q60" s="2"/>
      <c r="R60" s="6">
        <f t="shared" si="4"/>
        <v>0</v>
      </c>
      <c r="S60" s="2"/>
      <c r="T60" s="2">
        <f>SUM(OSRRefT22_12x_0)</f>
        <v>250.87</v>
      </c>
      <c r="U60" s="2"/>
      <c r="V60" s="6">
        <f t="shared" si="5"/>
        <v>0</v>
      </c>
      <c r="W60" s="2"/>
      <c r="X60" s="2">
        <f t="shared" si="6"/>
        <v>187.13</v>
      </c>
      <c r="Y60" s="2"/>
      <c r="Z60" s="6">
        <f t="shared" si="7"/>
        <v>0.74592418384023595</v>
      </c>
    </row>
    <row r="61" spans="1:26" s="69" customFormat="1" ht="15" hidden="1" customHeight="1" outlineLevel="2" x14ac:dyDescent="0.3">
      <c r="A61" s="26"/>
      <c r="B61" s="12" t="str">
        <f>CONCATENATE("          ","6309"," - ","TELEPHONE")</f>
        <v xml:space="preserve">          6309 - TELEPHONE</v>
      </c>
      <c r="C61" s="12"/>
      <c r="D61" s="8">
        <v>181.5</v>
      </c>
      <c r="E61" s="3"/>
      <c r="F61" s="7">
        <f t="shared" si="0"/>
        <v>0</v>
      </c>
      <c r="G61" s="3"/>
      <c r="H61" s="8"/>
      <c r="I61" s="3"/>
      <c r="J61" s="7">
        <f t="shared" si="1"/>
        <v>0</v>
      </c>
      <c r="K61" s="3"/>
      <c r="L61" s="8">
        <f t="shared" si="2"/>
        <v>181.5</v>
      </c>
      <c r="M61" s="3"/>
      <c r="N61" s="7">
        <f t="shared" si="3"/>
        <v>0</v>
      </c>
      <c r="O61" s="12"/>
      <c r="P61" s="8">
        <v>438</v>
      </c>
      <c r="Q61" s="3"/>
      <c r="R61" s="7">
        <f t="shared" si="4"/>
        <v>0</v>
      </c>
      <c r="S61" s="3"/>
      <c r="T61" s="8">
        <v>250.87</v>
      </c>
      <c r="U61" s="3"/>
      <c r="V61" s="7">
        <f t="shared" si="5"/>
        <v>0</v>
      </c>
      <c r="W61" s="3"/>
      <c r="X61" s="8">
        <f t="shared" si="6"/>
        <v>187.13</v>
      </c>
      <c r="Y61" s="3"/>
      <c r="Z61" s="7">
        <f t="shared" si="7"/>
        <v>0.74592418384023595</v>
      </c>
    </row>
    <row r="62" spans="1:26" s="68" customFormat="1" ht="15" customHeight="1" outlineLevel="1" collapsed="1" x14ac:dyDescent="0.3">
      <c r="A62" s="25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SUM(OSRRefD22_13x_0)</f>
        <v>120</v>
      </c>
      <c r="E62" s="2"/>
      <c r="F62" s="6">
        <f t="shared" si="0"/>
        <v>0</v>
      </c>
      <c r="G62" s="2"/>
      <c r="H62" s="2">
        <f>SUM(OSRRefH22_13x_0)</f>
        <v>0</v>
      </c>
      <c r="I62" s="2"/>
      <c r="J62" s="6">
        <f t="shared" si="1"/>
        <v>0</v>
      </c>
      <c r="K62" s="2"/>
      <c r="L62" s="2">
        <f t="shared" si="2"/>
        <v>120</v>
      </c>
      <c r="M62" s="2"/>
      <c r="N62" s="6">
        <f t="shared" si="3"/>
        <v>0</v>
      </c>
      <c r="O62" s="14"/>
      <c r="P62" s="2">
        <f>SUM(OSRRefP22_13x_0)</f>
        <v>120</v>
      </c>
      <c r="Q62" s="2"/>
      <c r="R62" s="6">
        <f t="shared" si="4"/>
        <v>0</v>
      </c>
      <c r="S62" s="2"/>
      <c r="T62" s="2">
        <f>SUM(OSRRefT22_13x_0)</f>
        <v>0</v>
      </c>
      <c r="U62" s="2"/>
      <c r="V62" s="6">
        <f t="shared" si="5"/>
        <v>0</v>
      </c>
      <c r="W62" s="2"/>
      <c r="X62" s="2">
        <f t="shared" si="6"/>
        <v>120</v>
      </c>
      <c r="Y62" s="2"/>
      <c r="Z62" s="6">
        <f t="shared" si="7"/>
        <v>0</v>
      </c>
    </row>
    <row r="63" spans="1:26" s="69" customFormat="1" ht="15" hidden="1" customHeight="1" outlineLevel="2" x14ac:dyDescent="0.3">
      <c r="A63" s="26"/>
      <c r="B63" s="12" t="str">
        <f>CONCATENATE("          ","6376"," - ","TRAINING")</f>
        <v xml:space="preserve">          6376 - TRAINING</v>
      </c>
      <c r="C63" s="12"/>
      <c r="D63" s="8">
        <v>120</v>
      </c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120</v>
      </c>
      <c r="M63" s="3"/>
      <c r="N63" s="7">
        <f t="shared" si="3"/>
        <v>0</v>
      </c>
      <c r="O63" s="12"/>
      <c r="P63" s="8">
        <v>120</v>
      </c>
      <c r="Q63" s="3"/>
      <c r="R63" s="7">
        <f t="shared" si="4"/>
        <v>0</v>
      </c>
      <c r="S63" s="3"/>
      <c r="T63" s="8"/>
      <c r="U63" s="3"/>
      <c r="V63" s="7">
        <f t="shared" si="5"/>
        <v>0</v>
      </c>
      <c r="W63" s="3"/>
      <c r="X63" s="8">
        <f t="shared" si="6"/>
        <v>120</v>
      </c>
      <c r="Y63" s="3"/>
      <c r="Z63" s="7">
        <f t="shared" si="7"/>
        <v>0</v>
      </c>
    </row>
    <row r="64" spans="1:26" s="64" customFormat="1" ht="15" customHeight="1" x14ac:dyDescent="0.3">
      <c r="A64" s="36"/>
      <c r="B64" s="36"/>
      <c r="C64" s="36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2" customFormat="1" ht="15" customHeight="1" collapsed="1" x14ac:dyDescent="0.3">
      <c r="A65" s="11"/>
      <c r="B65" s="27" t="s">
        <v>290</v>
      </c>
      <c r="C65" s="11"/>
      <c r="D65" s="5">
        <f>SUM(OSRRefD25x_0)</f>
        <v>0</v>
      </c>
      <c r="E65" s="5"/>
      <c r="F65" s="13">
        <f>IF(D$12=0,0,D65/D$12)</f>
        <v>0</v>
      </c>
      <c r="G65" s="5"/>
      <c r="H65" s="5">
        <f>SUM(OSRRefH25x_0)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SUM(OSRRefP25x_0)</f>
        <v>341.5</v>
      </c>
      <c r="Q65" s="5"/>
      <c r="R65" s="13">
        <f>IF(P$12=0,0,P65/P$12)</f>
        <v>0</v>
      </c>
      <c r="S65" s="5"/>
      <c r="T65" s="5">
        <f>SUM(OSRRefT25x_0)</f>
        <v>111.42</v>
      </c>
      <c r="U65" s="5"/>
      <c r="V65" s="13">
        <f>IF(T$12=0,0,T65/T$12)</f>
        <v>0</v>
      </c>
      <c r="W65" s="5"/>
      <c r="X65" s="5">
        <f>+P65-T65</f>
        <v>230.07999999999998</v>
      </c>
      <c r="Y65" s="5"/>
      <c r="Z65" s="13">
        <f>IF(T65=0,0,X65/T65)</f>
        <v>2.0649793573864654</v>
      </c>
    </row>
    <row r="66" spans="1:26" s="69" customFormat="1" ht="15" hidden="1" customHeight="1" outlineLevel="1" x14ac:dyDescent="0.3">
      <c r="A66" s="42"/>
      <c r="B66" s="12" t="str">
        <f>CONCATENATE("          ","9150"," - ","MISC. INCOME")</f>
        <v xml:space="preserve">          9150 - MISC. INCOME</v>
      </c>
      <c r="C66" s="12"/>
      <c r="D66" s="3">
        <f>0</f>
        <v>0</v>
      </c>
      <c r="E66" s="3"/>
      <c r="F66" s="20">
        <f>IF(D$12=0,0,D66/D$12)</f>
        <v>0</v>
      </c>
      <c r="G66" s="3"/>
      <c r="H66" s="3">
        <f>0</f>
        <v>0</v>
      </c>
      <c r="I66" s="3"/>
      <c r="J66" s="20">
        <f>IF(H$12=0,0,H66/H$12)</f>
        <v>0</v>
      </c>
      <c r="K66" s="3"/>
      <c r="L66" s="3">
        <f>+D66-H66</f>
        <v>0</v>
      </c>
      <c r="M66" s="3"/>
      <c r="N66" s="20">
        <f>IF(H66=0,0,L66/H66)</f>
        <v>0</v>
      </c>
      <c r="O66" s="12"/>
      <c r="P66" s="3">
        <f>--341.5</f>
        <v>341.5</v>
      </c>
      <c r="Q66" s="3"/>
      <c r="R66" s="20">
        <f>IF(P$12=0,0,P66/P$12)</f>
        <v>0</v>
      </c>
      <c r="S66" s="3"/>
      <c r="T66" s="3">
        <f>--111.42</f>
        <v>111.42</v>
      </c>
      <c r="U66" s="3"/>
      <c r="V66" s="20">
        <f>IF(T$12=0,0,T66/T$12)</f>
        <v>0</v>
      </c>
      <c r="W66" s="3"/>
      <c r="X66" s="3">
        <f>+P66-T66</f>
        <v>230.07999999999998</v>
      </c>
      <c r="Y66" s="3"/>
      <c r="Z66" s="20">
        <f>IF(T66=0,0,X66/T66)</f>
        <v>2.0649793573864654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291</v>
      </c>
      <c r="C68" s="28"/>
      <c r="D68" s="23">
        <f>+D17-D19+D65</f>
        <v>-17149.019999999997</v>
      </c>
      <c r="E68" s="15"/>
      <c r="F68" s="22">
        <f>IF(D$12=0,0,D68/D$12)</f>
        <v>0</v>
      </c>
      <c r="G68" s="15"/>
      <c r="H68" s="23">
        <f>+H17-H19+H65</f>
        <v>-8430.17</v>
      </c>
      <c r="I68" s="15"/>
      <c r="J68" s="22">
        <f>IF(H$12=0,0,H68/H$12)</f>
        <v>0</v>
      </c>
      <c r="K68" s="17"/>
      <c r="L68" s="23">
        <f>+D68-H68</f>
        <v>-8718.8499999999967</v>
      </c>
      <c r="M68" s="17"/>
      <c r="N68" s="22">
        <f>IF(H68=0,0,L68/H68)</f>
        <v>1.0342436748013382</v>
      </c>
      <c r="O68" s="27"/>
      <c r="P68" s="23">
        <f>+P17-P19+P65</f>
        <v>-138301.09000000005</v>
      </c>
      <c r="Q68" s="15"/>
      <c r="R68" s="22">
        <f>IF(P$12=0,0,P68/P$12)</f>
        <v>0</v>
      </c>
      <c r="S68" s="15"/>
      <c r="T68" s="23">
        <f>+T17-T19+T65</f>
        <v>-67345.570000000007</v>
      </c>
      <c r="U68" s="15"/>
      <c r="V68" s="22">
        <f>IF(T$12=0,0,T68/T$12)</f>
        <v>0</v>
      </c>
      <c r="W68" s="17"/>
      <c r="X68" s="23">
        <f>+P68-T68</f>
        <v>-70955.520000000048</v>
      </c>
      <c r="Y68" s="17"/>
      <c r="Z68" s="22">
        <f>IF(T68=0,0,X68/T68)</f>
        <v>1.0536033773268241</v>
      </c>
    </row>
    <row r="69" spans="1:26" ht="15" customHeight="1" x14ac:dyDescent="0.3">
      <c r="A69" s="10"/>
      <c r="B69" s="11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2" customFormat="1" ht="15" customHeight="1" x14ac:dyDescent="0.3">
      <c r="A70" s="48"/>
      <c r="B70" s="11" t="s">
        <v>292</v>
      </c>
      <c r="C70" s="11"/>
      <c r="D70" s="5"/>
      <c r="E70" s="5"/>
      <c r="F70" s="13">
        <f>IF(D$12=0,0,D70/D$12)</f>
        <v>0</v>
      </c>
      <c r="G70" s="5"/>
      <c r="H70" s="5"/>
      <c r="I70" s="5"/>
      <c r="J70" s="13">
        <f>IF(H$12=0,0,H70/H$12)</f>
        <v>0</v>
      </c>
      <c r="K70" s="5"/>
      <c r="L70" s="5">
        <f>+D70-H70</f>
        <v>0</v>
      </c>
      <c r="M70" s="5"/>
      <c r="N70" s="13">
        <f>IF(H70=0,0,L70/H70)</f>
        <v>0</v>
      </c>
      <c r="O70" s="11"/>
      <c r="P70" s="5"/>
      <c r="Q70" s="5"/>
      <c r="R70" s="13">
        <f>IF(P$12=0,0,P70/P$12)</f>
        <v>0</v>
      </c>
      <c r="S70" s="5"/>
      <c r="T70" s="5"/>
      <c r="U70" s="5"/>
      <c r="V70" s="13">
        <f>IF(T$12=0,0,T70/T$12)</f>
        <v>0</v>
      </c>
      <c r="W70" s="5"/>
      <c r="X70" s="5">
        <f>+P70-T70</f>
        <v>0</v>
      </c>
      <c r="Y70" s="5"/>
      <c r="Z70" s="13">
        <f>IF(T70=0,0,X70/T70)</f>
        <v>0</v>
      </c>
    </row>
    <row r="71" spans="1:26" ht="15" customHeight="1" x14ac:dyDescent="0.3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2" customFormat="1" ht="15" customHeight="1" x14ac:dyDescent="0.3">
      <c r="A72" s="11"/>
      <c r="B72" s="28" t="s">
        <v>293</v>
      </c>
      <c r="C72" s="28"/>
      <c r="D72" s="33">
        <f>+D68-D70</f>
        <v>-17149.019999999997</v>
      </c>
      <c r="E72" s="15"/>
      <c r="F72" s="34">
        <f>IF(D$12=0,0,D72/D$12)</f>
        <v>0</v>
      </c>
      <c r="G72" s="15"/>
      <c r="H72" s="33">
        <f>+H68-H70</f>
        <v>-8430.17</v>
      </c>
      <c r="I72" s="15"/>
      <c r="J72" s="34">
        <f>IF(H$12=0,0,H72/H$12)</f>
        <v>0</v>
      </c>
      <c r="K72" s="17"/>
      <c r="L72" s="33">
        <f>D72-H72</f>
        <v>-8718.8499999999967</v>
      </c>
      <c r="M72" s="17"/>
      <c r="N72" s="34">
        <f>IF(H72=0,0,L72/H72)</f>
        <v>1.0342436748013382</v>
      </c>
      <c r="O72" s="27"/>
      <c r="P72" s="33">
        <f>+P68-P70</f>
        <v>-138301.09000000005</v>
      </c>
      <c r="Q72" s="15"/>
      <c r="R72" s="34">
        <f>IF(P$12=0,0,P72/P$12)</f>
        <v>0</v>
      </c>
      <c r="S72" s="15"/>
      <c r="T72" s="33">
        <f>+T68-T70</f>
        <v>-67345.570000000007</v>
      </c>
      <c r="U72" s="15"/>
      <c r="V72" s="34">
        <f>IF(T$12=0,0,T72/T$12)</f>
        <v>0</v>
      </c>
      <c r="W72" s="17"/>
      <c r="X72" s="33">
        <f>P72-T72</f>
        <v>-70955.520000000048</v>
      </c>
      <c r="Y72" s="17"/>
      <c r="Z72" s="34">
        <f>IF(T72=0,0,X72/T72)</f>
        <v>1.0536033773268241</v>
      </c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2" customFormat="1" ht="15" customHeight="1" x14ac:dyDescent="0.3">
      <c r="A75" s="11"/>
      <c r="B75" s="28" t="s">
        <v>296</v>
      </c>
      <c r="C75" s="28"/>
      <c r="D75" s="35">
        <f>SUM(D72:D74)</f>
        <v>-17149.019999999997</v>
      </c>
      <c r="E75" s="15"/>
      <c r="F75" s="29">
        <f>IF(D$12=0,0,D75/D$12)</f>
        <v>0</v>
      </c>
      <c r="G75" s="15"/>
      <c r="H75" s="35">
        <f>SUM(H72:H74)</f>
        <v>-8430.17</v>
      </c>
      <c r="I75" s="15"/>
      <c r="J75" s="29">
        <f>IF(H$12=0,0,H75/H$12)</f>
        <v>0</v>
      </c>
      <c r="K75" s="17"/>
      <c r="L75" s="35">
        <f>+D75-H75</f>
        <v>-8718.8499999999967</v>
      </c>
      <c r="M75" s="17"/>
      <c r="N75" s="29">
        <f>IF(H75=0,0,L75/H75)</f>
        <v>1.0342436748013382</v>
      </c>
      <c r="O75" s="27"/>
      <c r="P75" s="35">
        <f>SUM(P72:P74)</f>
        <v>-138301.09000000005</v>
      </c>
      <c r="Q75" s="15"/>
      <c r="R75" s="29">
        <f>IF(P$12=0,0,P75/P$12)</f>
        <v>0</v>
      </c>
      <c r="S75" s="15"/>
      <c r="T75" s="35">
        <f>SUM(T72:T74)</f>
        <v>-67345.570000000007</v>
      </c>
      <c r="U75" s="15"/>
      <c r="V75" s="29">
        <f>IF(T$12=0,0,T75/T$12)</f>
        <v>0</v>
      </c>
      <c r="W75" s="17"/>
      <c r="X75" s="35">
        <f>+P75-T75</f>
        <v>-70955.520000000048</v>
      </c>
      <c r="Y75" s="17"/>
      <c r="Z75" s="29">
        <f>IF(T75=0,0,X75/T75)</f>
        <v>1.0536033773268241</v>
      </c>
    </row>
    <row r="76" spans="1:26" ht="15" customHeight="1" x14ac:dyDescent="0.3">
      <c r="A76" s="10"/>
      <c r="C76" s="10"/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  <row r="77" spans="1:26" ht="15" customHeight="1" x14ac:dyDescent="0.3">
      <c r="A77" s="10"/>
      <c r="B77" s="50">
        <v>44634.887810300927</v>
      </c>
      <c r="D77" s="18"/>
      <c r="E77" s="18"/>
      <c r="G77" s="18"/>
      <c r="H77" s="18"/>
      <c r="I77" s="18"/>
      <c r="J77" s="41"/>
      <c r="K77" s="18"/>
      <c r="L77" s="18"/>
      <c r="M77" s="18"/>
      <c r="P77" s="18"/>
      <c r="Q77" s="18"/>
      <c r="R77" s="41"/>
      <c r="S77" s="18"/>
      <c r="T77" s="18"/>
      <c r="U77" s="18"/>
      <c r="V77" s="41"/>
      <c r="W77" s="18"/>
      <c r="X77" s="18"/>
    </row>
    <row r="78" spans="1:26" ht="15" customHeight="1" x14ac:dyDescent="0.3">
      <c r="A78" s="10"/>
      <c r="B78" s="58" t="s">
        <v>297</v>
      </c>
      <c r="D78" s="18"/>
      <c r="E78" s="18"/>
      <c r="G78" s="18"/>
      <c r="H78" s="18"/>
      <c r="I78" s="18"/>
      <c r="J78" s="41"/>
      <c r="K78" s="18"/>
      <c r="L78" s="18"/>
      <c r="M78" s="18"/>
      <c r="P78" s="18"/>
      <c r="Q78" s="18"/>
      <c r="R78" s="41"/>
      <c r="S78" s="18"/>
      <c r="T78" s="18"/>
      <c r="U78" s="18"/>
      <c r="V78" s="41"/>
      <c r="W78" s="18"/>
      <c r="X78" s="18"/>
    </row>
    <row r="79" spans="1:26" ht="15" customHeight="1" x14ac:dyDescent="0.3">
      <c r="A79" s="10"/>
      <c r="B79" s="56"/>
      <c r="D79" s="18"/>
      <c r="E79" s="18"/>
      <c r="G79" s="18"/>
      <c r="H79" s="18"/>
      <c r="I79" s="18"/>
      <c r="J79" s="41"/>
      <c r="K79" s="18"/>
      <c r="L79" s="18"/>
      <c r="M79" s="18"/>
      <c r="P79" s="18"/>
      <c r="Q79" s="18"/>
      <c r="R79" s="41"/>
      <c r="S79" s="18"/>
      <c r="T79" s="18"/>
      <c r="U79" s="18"/>
      <c r="V79" s="41"/>
      <c r="W79" s="18"/>
      <c r="X79" s="18"/>
    </row>
    <row r="80" spans="1:26" ht="15" customHeight="1" x14ac:dyDescent="0.3">
      <c r="D80" s="18"/>
      <c r="E80" s="18"/>
      <c r="G80" s="18"/>
      <c r="H80" s="18"/>
      <c r="I80" s="18"/>
      <c r="J80" s="41"/>
      <c r="K80" s="18"/>
      <c r="L80" s="18"/>
      <c r="M80" s="18"/>
      <c r="P80" s="18"/>
      <c r="Q80" s="18"/>
      <c r="R80" s="41"/>
      <c r="S80" s="18"/>
      <c r="T80" s="18"/>
      <c r="U80" s="18"/>
      <c r="V80" s="41"/>
      <c r="W80" s="18"/>
      <c r="X80" s="18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3E9CE-E63B-52C1-5E4A-DF78EEC96444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","420"," - ","Catering")</f>
        <v>Department 420 - Catering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49980.95</v>
      </c>
      <c r="I12" s="5"/>
      <c r="J12" s="13"/>
      <c r="K12" s="5"/>
      <c r="L12" s="5">
        <f>+D12-H12</f>
        <v>-49980.95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280157.8</v>
      </c>
      <c r="U12" s="5"/>
      <c r="V12" s="13"/>
      <c r="W12" s="5"/>
      <c r="X12" s="5">
        <f>+P12-T12</f>
        <v>-280157.8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","4052"," - ","TAXABLE SALES-FOOD")</f>
        <v xml:space="preserve">          4052 - TAXABLE SALES-FOOD</v>
      </c>
      <c r="C13" s="12"/>
      <c r="D13" s="3">
        <f>0</f>
        <v>0</v>
      </c>
      <c r="E13" s="3"/>
      <c r="F13" s="20"/>
      <c r="G13" s="3"/>
      <c r="H13" s="3">
        <f>--49980.95</f>
        <v>49980.95</v>
      </c>
      <c r="I13" s="3"/>
      <c r="J13" s="20"/>
      <c r="K13" s="3"/>
      <c r="L13" s="3">
        <f>+D13-H13</f>
        <v>-49980.95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f>--280157.8</f>
        <v>280157.8</v>
      </c>
      <c r="U13" s="3"/>
      <c r="V13" s="20"/>
      <c r="W13" s="3"/>
      <c r="X13" s="3">
        <f>+P13-T13</f>
        <v>-280157.8</v>
      </c>
      <c r="Y13" s="3"/>
      <c r="Z13" s="20">
        <f>IF(T13=0,0,X13/T13)</f>
        <v>-1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7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D12-D15</f>
        <v>0</v>
      </c>
      <c r="E17" s="15"/>
      <c r="F17" s="22">
        <f>IF(D$12=0,0,D17/D$12)</f>
        <v>0</v>
      </c>
      <c r="G17" s="15"/>
      <c r="H17" s="23">
        <f>H12-H15</f>
        <v>49980.95</v>
      </c>
      <c r="I17" s="15"/>
      <c r="J17" s="22">
        <f>IF(H$12=0,0,H17/H$12)</f>
        <v>1</v>
      </c>
      <c r="K17" s="17"/>
      <c r="L17" s="23">
        <f>+D17-H17</f>
        <v>-49980.95</v>
      </c>
      <c r="M17" s="17"/>
      <c r="N17" s="22">
        <f>IF(H17=0,0,L17/H17)</f>
        <v>-1</v>
      </c>
      <c r="O17" s="27"/>
      <c r="P17" s="23">
        <f>P12-P15</f>
        <v>0</v>
      </c>
      <c r="Q17" s="15"/>
      <c r="R17" s="22">
        <f>IF(P$12=0,0,P17/P$12)</f>
        <v>0</v>
      </c>
      <c r="S17" s="15"/>
      <c r="T17" s="23">
        <f>T12-T15</f>
        <v>280157.8</v>
      </c>
      <c r="U17" s="15"/>
      <c r="V17" s="22">
        <f>IF(T$12=0,0,T17/T$12)</f>
        <v>1</v>
      </c>
      <c r="W17" s="17"/>
      <c r="X17" s="23">
        <f>+P17-T17</f>
        <v>-280157.8</v>
      </c>
      <c r="Y17" s="17"/>
      <c r="Z17" s="22">
        <f>IF(T17=0,0,X17/T17)</f>
        <v>-1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>
        <f>SUM(OSRRefD22x_0)</f>
        <v>0</v>
      </c>
      <c r="E19" s="21"/>
      <c r="F19" s="30">
        <f>IF(D$12=0,0,D19/D$12)</f>
        <v>0</v>
      </c>
      <c r="G19" s="21"/>
      <c r="H19" s="21">
        <f>SUM(OSRRefH22x_0)</f>
        <v>0</v>
      </c>
      <c r="I19" s="21"/>
      <c r="J19" s="30">
        <f>IF(H$12=0,0,H19/H$12)</f>
        <v>0</v>
      </c>
      <c r="K19" s="5"/>
      <c r="L19" s="21">
        <f>+D19-H19</f>
        <v>0</v>
      </c>
      <c r="M19" s="5"/>
      <c r="N19" s="30">
        <f>IF(H19=0,0,L19/H19)</f>
        <v>0</v>
      </c>
      <c r="O19" s="11"/>
      <c r="P19" s="21">
        <f>SUM(OSRRefP22x_0)</f>
        <v>0</v>
      </c>
      <c r="Q19" s="21"/>
      <c r="R19" s="30">
        <f>IF(P$12=0,0,P19/P$12)</f>
        <v>0</v>
      </c>
      <c r="S19" s="21"/>
      <c r="T19" s="21">
        <f>SUM(OSRRefT22x_0)</f>
        <v>7.86</v>
      </c>
      <c r="U19" s="21"/>
      <c r="V19" s="30">
        <f>IF(T$12=0,0,T19/T$12)</f>
        <v>2.8055617227148415E-5</v>
      </c>
      <c r="W19" s="5"/>
      <c r="X19" s="21">
        <f>+P19-T19</f>
        <v>-7.86</v>
      </c>
      <c r="Y19" s="5"/>
      <c r="Z19" s="30">
        <f>IF(T19=0,0,X19/T19)</f>
        <v>-1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>IF(D$12=0,0,D20/D$12)</f>
        <v>0</v>
      </c>
      <c r="G20" s="2"/>
      <c r="H20" s="2">
        <f>SUM(OSRRefH22_0x_0)</f>
        <v>0</v>
      </c>
      <c r="I20" s="2"/>
      <c r="J20" s="6">
        <f>IF(H$12=0,0,H20/H$12)</f>
        <v>0</v>
      </c>
      <c r="K20" s="2"/>
      <c r="L20" s="2">
        <f>+D20-H20</f>
        <v>0</v>
      </c>
      <c r="M20" s="2"/>
      <c r="N20" s="6">
        <f>IF(H20=0,0,L20/H20)</f>
        <v>0</v>
      </c>
      <c r="O20" s="14"/>
      <c r="P20" s="2">
        <f>SUM(OSRRefP22_0x_0)</f>
        <v>0</v>
      </c>
      <c r="Q20" s="2"/>
      <c r="R20" s="6">
        <f>IF(P$12=0,0,P20/P$12)</f>
        <v>0</v>
      </c>
      <c r="S20" s="2"/>
      <c r="T20" s="2">
        <f>SUM(OSRRefT22_0x_0)</f>
        <v>7.86</v>
      </c>
      <c r="U20" s="2"/>
      <c r="V20" s="6">
        <f>IF(T$12=0,0,T20/T$12)</f>
        <v>2.8055617227148415E-5</v>
      </c>
      <c r="W20" s="2"/>
      <c r="X20" s="2">
        <f>+P20-T20</f>
        <v>-7.86</v>
      </c>
      <c r="Y20" s="2"/>
      <c r="Z20" s="6">
        <f>IF(T20=0,0,X20/T20)</f>
        <v>-1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/>
      <c r="E21" s="3"/>
      <c r="F21" s="7">
        <f>IF(D$12=0,0,D21/D$12)</f>
        <v>0</v>
      </c>
      <c r="G21" s="3"/>
      <c r="H21" s="8"/>
      <c r="I21" s="3"/>
      <c r="J21" s="7">
        <f>IF(H$12=0,0,H21/H$12)</f>
        <v>0</v>
      </c>
      <c r="K21" s="3"/>
      <c r="L21" s="8">
        <f>+D21-H21</f>
        <v>0</v>
      </c>
      <c r="M21" s="3"/>
      <c r="N21" s="7">
        <f>IF(H21=0,0,L21/H21)</f>
        <v>0</v>
      </c>
      <c r="O21" s="12"/>
      <c r="P21" s="8"/>
      <c r="Q21" s="3"/>
      <c r="R21" s="7">
        <f>IF(P$12=0,0,P21/P$12)</f>
        <v>0</v>
      </c>
      <c r="S21" s="3"/>
      <c r="T21" s="8">
        <v>7.86</v>
      </c>
      <c r="U21" s="3"/>
      <c r="V21" s="7">
        <f>IF(T$12=0,0,T21/T$12)</f>
        <v>2.8055617227148415E-5</v>
      </c>
      <c r="W21" s="3"/>
      <c r="X21" s="8">
        <f>+P21-T21</f>
        <v>-7.86</v>
      </c>
      <c r="Y21" s="3"/>
      <c r="Z21" s="7">
        <f>IF(T21=0,0,X21/T21)</f>
        <v>-1</v>
      </c>
    </row>
    <row r="22" spans="1:26" s="64" customFormat="1" ht="15" customHeight="1" x14ac:dyDescent="0.3">
      <c r="A22" s="36"/>
      <c r="B22" s="36"/>
      <c r="C22" s="36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290</v>
      </c>
      <c r="C23" s="11"/>
      <c r="D23" s="5">
        <f>SUM(0)</f>
        <v>0</v>
      </c>
      <c r="E23" s="5"/>
      <c r="F23" s="13">
        <f>IF(D$12=0,0,D23/D$12)</f>
        <v>0</v>
      </c>
      <c r="G23" s="5"/>
      <c r="H23" s="5">
        <f>SUM(0)</f>
        <v>0</v>
      </c>
      <c r="I23" s="5"/>
      <c r="J23" s="13">
        <f>IF(H$12=0,0,H23/H$12)</f>
        <v>0</v>
      </c>
      <c r="K23" s="5"/>
      <c r="L23" s="5">
        <f>+D23-H23</f>
        <v>0</v>
      </c>
      <c r="M23" s="5"/>
      <c r="N23" s="13">
        <f>IF(H23=0,0,L23/H23)</f>
        <v>0</v>
      </c>
      <c r="O23" s="11"/>
      <c r="P23" s="5">
        <f>SUM(0)</f>
        <v>0</v>
      </c>
      <c r="Q23" s="5"/>
      <c r="R23" s="13">
        <f>IF(P$12=0,0,P23/P$12)</f>
        <v>0</v>
      </c>
      <c r="S23" s="5"/>
      <c r="T23" s="5">
        <f>SUM(0)</f>
        <v>0</v>
      </c>
      <c r="U23" s="5"/>
      <c r="V23" s="13">
        <f>IF(T$12=0,0,T23/T$12)</f>
        <v>0</v>
      </c>
      <c r="W23" s="5"/>
      <c r="X23" s="5">
        <f>+P23-T23</f>
        <v>0</v>
      </c>
      <c r="Y23" s="5"/>
      <c r="Z23" s="13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2" customFormat="1" ht="15" customHeight="1" x14ac:dyDescent="0.3">
      <c r="A25" s="11"/>
      <c r="B25" s="28" t="s">
        <v>291</v>
      </c>
      <c r="C25" s="28"/>
      <c r="D25" s="23">
        <f>+D17-D19+D23</f>
        <v>0</v>
      </c>
      <c r="E25" s="15"/>
      <c r="F25" s="22">
        <f>IF(D$12=0,0,D25/D$12)</f>
        <v>0</v>
      </c>
      <c r="G25" s="15"/>
      <c r="H25" s="23">
        <f>+H17-H19+H23</f>
        <v>49980.95</v>
      </c>
      <c r="I25" s="15"/>
      <c r="J25" s="22">
        <f>IF(H$12=0,0,H25/H$12)</f>
        <v>1</v>
      </c>
      <c r="K25" s="17"/>
      <c r="L25" s="23">
        <f>+D25-H25</f>
        <v>-49980.95</v>
      </c>
      <c r="M25" s="17"/>
      <c r="N25" s="22">
        <f>IF(H25=0,0,L25/H25)</f>
        <v>-1</v>
      </c>
      <c r="O25" s="27"/>
      <c r="P25" s="23">
        <f>+P17-P19+P23</f>
        <v>0</v>
      </c>
      <c r="Q25" s="15"/>
      <c r="R25" s="22">
        <f>IF(P$12=0,0,P25/P$12)</f>
        <v>0</v>
      </c>
      <c r="S25" s="15"/>
      <c r="T25" s="23">
        <f>+T17-T19+T23</f>
        <v>280149.94</v>
      </c>
      <c r="U25" s="15"/>
      <c r="V25" s="22">
        <f>IF(T$12=0,0,T25/T$12)</f>
        <v>0.99997194438277293</v>
      </c>
      <c r="W25" s="17"/>
      <c r="X25" s="23">
        <f>+P25-T25</f>
        <v>-280149.94</v>
      </c>
      <c r="Y25" s="17"/>
      <c r="Z25" s="22">
        <f>IF(T25=0,0,X25/T25)</f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48"/>
      <c r="B27" s="11" t="s">
        <v>292</v>
      </c>
      <c r="C27" s="11"/>
      <c r="D27" s="5"/>
      <c r="E27" s="5"/>
      <c r="F27" s="13">
        <f>IF(D$12=0,0,D27/D$12)</f>
        <v>0</v>
      </c>
      <c r="G27" s="5"/>
      <c r="H27" s="5">
        <v>13698.06</v>
      </c>
      <c r="I27" s="5"/>
      <c r="J27" s="13">
        <f>IF(H$12=0,0,H27/H$12)</f>
        <v>0.27406561900083931</v>
      </c>
      <c r="K27" s="5"/>
      <c r="L27" s="5">
        <f>+D27-H27</f>
        <v>-13698.06</v>
      </c>
      <c r="M27" s="5"/>
      <c r="N27" s="13">
        <f>IF(H27=0,0,L27/H27)</f>
        <v>-1</v>
      </c>
      <c r="O27" s="11"/>
      <c r="P27" s="5"/>
      <c r="Q27" s="5"/>
      <c r="R27" s="13">
        <f>IF(P$12=0,0,P27/P$12)</f>
        <v>0</v>
      </c>
      <c r="S27" s="5"/>
      <c r="T27" s="5">
        <v>55481.27</v>
      </c>
      <c r="U27" s="5"/>
      <c r="V27" s="13">
        <f>IF(T$12=0,0,T27/T$12)</f>
        <v>0.19803578554657411</v>
      </c>
      <c r="W27" s="5"/>
      <c r="X27" s="5">
        <f>+P27-T27</f>
        <v>-55481.27</v>
      </c>
      <c r="Y27" s="5"/>
      <c r="Z27" s="13">
        <f>IF(T27=0,0,X27/T27)</f>
        <v>-1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11"/>
      <c r="B29" s="28" t="s">
        <v>293</v>
      </c>
      <c r="C29" s="28"/>
      <c r="D29" s="33">
        <f>+D25-D27</f>
        <v>0</v>
      </c>
      <c r="E29" s="15"/>
      <c r="F29" s="34">
        <f>IF(D$12=0,0,D29/D$12)</f>
        <v>0</v>
      </c>
      <c r="G29" s="15"/>
      <c r="H29" s="33">
        <f>+H25-H27</f>
        <v>36282.89</v>
      </c>
      <c r="I29" s="15"/>
      <c r="J29" s="34">
        <f>IF(H$12=0,0,H29/H$12)</f>
        <v>0.72593438099916074</v>
      </c>
      <c r="K29" s="17"/>
      <c r="L29" s="33">
        <f>D29-H29</f>
        <v>-36282.89</v>
      </c>
      <c r="M29" s="17"/>
      <c r="N29" s="34">
        <f>IF(H29=0,0,L29/H29)</f>
        <v>-1</v>
      </c>
      <c r="O29" s="27"/>
      <c r="P29" s="33">
        <f>+P25-P27</f>
        <v>0</v>
      </c>
      <c r="Q29" s="15"/>
      <c r="R29" s="34">
        <f>IF(P$12=0,0,P29/P$12)</f>
        <v>0</v>
      </c>
      <c r="S29" s="15"/>
      <c r="T29" s="33">
        <f>+T25-T27</f>
        <v>224668.67</v>
      </c>
      <c r="U29" s="15"/>
      <c r="V29" s="34">
        <f>IF(T$12=0,0,T29/T$12)</f>
        <v>0.80193615883619884</v>
      </c>
      <c r="W29" s="17"/>
      <c r="X29" s="33">
        <f>P29-T29</f>
        <v>-224668.67</v>
      </c>
      <c r="Y29" s="17"/>
      <c r="Z29" s="34">
        <f>IF(T29=0,0,X29/T29)</f>
        <v>-1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296</v>
      </c>
      <c r="C32" s="28"/>
      <c r="D32" s="35">
        <f>SUM(D29:D31)</f>
        <v>0</v>
      </c>
      <c r="E32" s="15"/>
      <c r="F32" s="29">
        <f>IF(D$12=0,0,D32/D$12)</f>
        <v>0</v>
      </c>
      <c r="G32" s="15"/>
      <c r="H32" s="35">
        <f>SUM(H29:H31)</f>
        <v>36282.89</v>
      </c>
      <c r="I32" s="15"/>
      <c r="J32" s="29">
        <f>IF(H$12=0,0,H32/H$12)</f>
        <v>0.72593438099916074</v>
      </c>
      <c r="K32" s="17"/>
      <c r="L32" s="35">
        <f>+D32-H32</f>
        <v>-36282.89</v>
      </c>
      <c r="M32" s="17"/>
      <c r="N32" s="29">
        <f>IF(H32=0,0,L32/H32)</f>
        <v>-1</v>
      </c>
      <c r="O32" s="27"/>
      <c r="P32" s="35">
        <f>SUM(P29:P31)</f>
        <v>0</v>
      </c>
      <c r="Q32" s="15"/>
      <c r="R32" s="29">
        <f>IF(P$12=0,0,P32/P$12)</f>
        <v>0</v>
      </c>
      <c r="S32" s="15"/>
      <c r="T32" s="35">
        <f>SUM(T29:T31)</f>
        <v>224668.67</v>
      </c>
      <c r="U32" s="15"/>
      <c r="V32" s="29">
        <f>IF(T$12=0,0,T32/T$12)</f>
        <v>0.80193615883619884</v>
      </c>
      <c r="W32" s="17"/>
      <c r="X32" s="35">
        <f>+P32-T32</f>
        <v>-224668.67</v>
      </c>
      <c r="Y32" s="17"/>
      <c r="Z32" s="29">
        <f>IF(T32=0,0,X32/T32)</f>
        <v>-1</v>
      </c>
    </row>
    <row r="33" spans="1:24" ht="15" customHeight="1" x14ac:dyDescent="0.3">
      <c r="A33" s="10"/>
      <c r="C33" s="10"/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3">
      <c r="A34" s="10"/>
      <c r="B34" s="50">
        <v>44634.887810300927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3">
      <c r="A35" s="10"/>
      <c r="B35" s="58" t="s">
        <v>297</v>
      </c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3">
      <c r="A36" s="10"/>
      <c r="B36" s="56"/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  <row r="37" spans="1:24" ht="15" customHeight="1" x14ac:dyDescent="0.3"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A1D4B-62FF-CBD6-C098-B551FA472116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","423"," - ","Contract/Vending Revenue")</f>
        <v>Department 423 - Contract/Vending Revenue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51.41</v>
      </c>
      <c r="E18" s="21"/>
      <c r="F18" s="30">
        <f t="shared" ref="F18:F27" si="0">IF(D$12=0,0,D18/D$12)</f>
        <v>0</v>
      </c>
      <c r="G18" s="21"/>
      <c r="H18" s="21" cm="1">
        <f t="array" ref="H18">SUM(OSRRefH22x_0)</f>
        <v>47.55</v>
      </c>
      <c r="I18" s="21"/>
      <c r="J18" s="30">
        <f t="shared" ref="J18:J27" si="1">IF(H$12=0,0,H18/H$12)</f>
        <v>0</v>
      </c>
      <c r="K18" s="5"/>
      <c r="L18" s="21">
        <f t="shared" ref="L18:L27" si="2">+D18-H18</f>
        <v>3.8599999999999994</v>
      </c>
      <c r="M18" s="5"/>
      <c r="N18" s="30">
        <f t="shared" ref="N18:N27" si="3">IF(H18=0,0,L18/H18)</f>
        <v>8.1177707676130376E-2</v>
      </c>
      <c r="O18" s="11"/>
      <c r="P18" s="21" cm="1">
        <f t="array" ref="P18">SUM(OSRRefP22x_0)</f>
        <v>8825.64</v>
      </c>
      <c r="Q18" s="21"/>
      <c r="R18" s="30">
        <f t="shared" ref="R18:R27" si="4">IF(P$12=0,0,P18/P$12)</f>
        <v>0</v>
      </c>
      <c r="S18" s="21"/>
      <c r="T18" s="21" cm="1">
        <f t="array" ref="T18">SUM(OSRRefT22x_0)</f>
        <v>3102.7400000000002</v>
      </c>
      <c r="U18" s="21"/>
      <c r="V18" s="30">
        <f t="shared" ref="V18:V27" si="5">IF(T$12=0,0,T18/T$12)</f>
        <v>0</v>
      </c>
      <c r="W18" s="5"/>
      <c r="X18" s="21">
        <f t="shared" ref="X18:X27" si="6">+P18-T18</f>
        <v>5722.9</v>
      </c>
      <c r="Y18" s="5"/>
      <c r="Z18" s="30">
        <f t="shared" ref="Z18:Z27" si="7">IF(T18=0,0,X18/T18)</f>
        <v>1.8444665037998669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2478.73</v>
      </c>
      <c r="U19" s="2"/>
      <c r="V19" s="6">
        <f t="shared" si="5"/>
        <v>0</v>
      </c>
      <c r="W19" s="2"/>
      <c r="X19" s="2">
        <f t="shared" si="6"/>
        <v>-2478.73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1868.2</v>
      </c>
      <c r="U20" s="3"/>
      <c r="V20" s="7">
        <f t="shared" si="5"/>
        <v>0</v>
      </c>
      <c r="W20" s="3"/>
      <c r="X20" s="8">
        <f t="shared" si="6"/>
        <v>-1868.2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","6115"," - ","P.E.R.S.")</f>
        <v xml:space="preserve">          6115 - P.E.R.S.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610.53</v>
      </c>
      <c r="U21" s="3"/>
      <c r="V21" s="7">
        <f t="shared" si="5"/>
        <v>0</v>
      </c>
      <c r="W21" s="3"/>
      <c r="X21" s="8">
        <f t="shared" si="6"/>
        <v>-610.53</v>
      </c>
      <c r="Y21" s="3"/>
      <c r="Z21" s="7">
        <f t="shared" si="7"/>
        <v>-1</v>
      </c>
    </row>
    <row r="22" spans="1:26" s="68" customFormat="1" ht="15" customHeight="1" outlineLevel="1" collapsed="1" x14ac:dyDescent="0.3">
      <c r="A22" s="25"/>
      <c r="B22" s="14" t="str">
        <f>CONCATENATE("     ","General                                           ")</f>
        <v xml:space="preserve">     General                                           </v>
      </c>
      <c r="C22" s="14"/>
      <c r="D22" s="2">
        <f>SUM(OSRRefD22_1x_0)</f>
        <v>0</v>
      </c>
      <c r="E22" s="2"/>
      <c r="F22" s="6">
        <f t="shared" si="0"/>
        <v>0</v>
      </c>
      <c r="G22" s="2"/>
      <c r="H22" s="2">
        <f>SUM(OSRRefH22_1x_0)</f>
        <v>0</v>
      </c>
      <c r="I22" s="2"/>
      <c r="J22" s="6">
        <f t="shared" si="1"/>
        <v>0</v>
      </c>
      <c r="K22" s="2"/>
      <c r="L22" s="2">
        <f t="shared" si="2"/>
        <v>0</v>
      </c>
      <c r="M22" s="2"/>
      <c r="N22" s="6">
        <f t="shared" si="3"/>
        <v>0</v>
      </c>
      <c r="O22" s="14"/>
      <c r="P22" s="2">
        <f>SUM(OSRRefP22_1x_0)</f>
        <v>7816.11</v>
      </c>
      <c r="Q22" s="2"/>
      <c r="R22" s="6">
        <f t="shared" si="4"/>
        <v>0</v>
      </c>
      <c r="S22" s="2"/>
      <c r="T22" s="2">
        <f>SUM(OSRRefT22_1x_0)</f>
        <v>0</v>
      </c>
      <c r="U22" s="2"/>
      <c r="V22" s="6">
        <f t="shared" si="5"/>
        <v>0</v>
      </c>
      <c r="W22" s="2"/>
      <c r="X22" s="2">
        <f t="shared" si="6"/>
        <v>7816.11</v>
      </c>
      <c r="Y22" s="2"/>
      <c r="Z22" s="6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","6279"," - ","GENERAL EXPENSE")</f>
        <v xml:space="preserve">          6279 - GENERAL EXPENSE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>
        <v>7816.11</v>
      </c>
      <c r="Q23" s="3"/>
      <c r="R23" s="7">
        <f t="shared" si="4"/>
        <v>0</v>
      </c>
      <c r="S23" s="3"/>
      <c r="T23" s="8"/>
      <c r="U23" s="3"/>
      <c r="V23" s="7">
        <f t="shared" si="5"/>
        <v>0</v>
      </c>
      <c r="W23" s="3"/>
      <c r="X23" s="8">
        <f t="shared" si="6"/>
        <v>7816.11</v>
      </c>
      <c r="Y23" s="3"/>
      <c r="Z23" s="7">
        <f t="shared" si="7"/>
        <v>0</v>
      </c>
    </row>
    <row r="24" spans="1:26" s="68" customFormat="1" ht="15" customHeight="1" outlineLevel="1" collapsed="1" x14ac:dyDescent="0.3">
      <c r="A24" s="25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SUM(OSRRefD22_2x_0)</f>
        <v>15.41</v>
      </c>
      <c r="E24" s="2"/>
      <c r="F24" s="6">
        <f t="shared" si="0"/>
        <v>0</v>
      </c>
      <c r="G24" s="2"/>
      <c r="H24" s="2">
        <f>SUM(OSRRefH22_2x_0)</f>
        <v>11.55</v>
      </c>
      <c r="I24" s="2"/>
      <c r="J24" s="6">
        <f t="shared" si="1"/>
        <v>0</v>
      </c>
      <c r="K24" s="2"/>
      <c r="L24" s="2">
        <f t="shared" si="2"/>
        <v>3.8599999999999994</v>
      </c>
      <c r="M24" s="2"/>
      <c r="N24" s="6">
        <f t="shared" si="3"/>
        <v>0.33419913419913411</v>
      </c>
      <c r="O24" s="14"/>
      <c r="P24" s="2">
        <f>SUM(OSRRefP22_2x_0)</f>
        <v>564.03</v>
      </c>
      <c r="Q24" s="2"/>
      <c r="R24" s="6">
        <f t="shared" si="4"/>
        <v>0</v>
      </c>
      <c r="S24" s="2"/>
      <c r="T24" s="2">
        <f>SUM(OSRRefT22_2x_0)</f>
        <v>-2.99</v>
      </c>
      <c r="U24" s="2"/>
      <c r="V24" s="6">
        <f t="shared" si="5"/>
        <v>0</v>
      </c>
      <c r="W24" s="2"/>
      <c r="X24" s="2">
        <f t="shared" si="6"/>
        <v>567.02</v>
      </c>
      <c r="Y24" s="2"/>
      <c r="Z24" s="6">
        <f t="shared" si="7"/>
        <v>-189.63879598662206</v>
      </c>
    </row>
    <row r="25" spans="1:26" s="69" customFormat="1" ht="15" hidden="1" customHeight="1" outlineLevel="2" x14ac:dyDescent="0.3">
      <c r="A25" s="26"/>
      <c r="B25" s="12" t="str">
        <f>CONCATENATE("          ","6241"," - ","OFFICE EXPENSE")</f>
        <v xml:space="preserve">          6241 - OFFICE EXPENSE</v>
      </c>
      <c r="C25" s="12"/>
      <c r="D25" s="8">
        <v>15.41</v>
      </c>
      <c r="E25" s="3"/>
      <c r="F25" s="7">
        <f t="shared" si="0"/>
        <v>0</v>
      </c>
      <c r="G25" s="3"/>
      <c r="H25" s="8">
        <v>11.55</v>
      </c>
      <c r="I25" s="3"/>
      <c r="J25" s="7">
        <f t="shared" si="1"/>
        <v>0</v>
      </c>
      <c r="K25" s="3"/>
      <c r="L25" s="8">
        <f t="shared" si="2"/>
        <v>3.8599999999999994</v>
      </c>
      <c r="M25" s="3"/>
      <c r="N25" s="7">
        <f t="shared" si="3"/>
        <v>0.33419913419913411</v>
      </c>
      <c r="O25" s="12"/>
      <c r="P25" s="8">
        <v>564.03</v>
      </c>
      <c r="Q25" s="3"/>
      <c r="R25" s="7">
        <f t="shared" si="4"/>
        <v>0</v>
      </c>
      <c r="S25" s="3"/>
      <c r="T25" s="8">
        <v>-2.99</v>
      </c>
      <c r="U25" s="3"/>
      <c r="V25" s="7">
        <f t="shared" si="5"/>
        <v>0</v>
      </c>
      <c r="W25" s="3"/>
      <c r="X25" s="8">
        <f t="shared" si="6"/>
        <v>567.02</v>
      </c>
      <c r="Y25" s="3"/>
      <c r="Z25" s="7">
        <f t="shared" si="7"/>
        <v>-189.63879598662206</v>
      </c>
    </row>
    <row r="26" spans="1:26" s="68" customFormat="1" ht="15" customHeight="1" outlineLevel="1" collapsed="1" x14ac:dyDescent="0.3">
      <c r="A26" s="25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SUM(OSRRefD22_3x_0)</f>
        <v>36</v>
      </c>
      <c r="E26" s="2"/>
      <c r="F26" s="6">
        <f t="shared" si="0"/>
        <v>0</v>
      </c>
      <c r="G26" s="2"/>
      <c r="H26" s="2">
        <f>SUM(OSRRefH22_3x_0)</f>
        <v>36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SUM(OSRRefP22_3x_0)</f>
        <v>445.5</v>
      </c>
      <c r="Q26" s="2"/>
      <c r="R26" s="6">
        <f t="shared" si="4"/>
        <v>0</v>
      </c>
      <c r="S26" s="2"/>
      <c r="T26" s="2">
        <f>SUM(OSRRefT22_3x_0)</f>
        <v>627</v>
      </c>
      <c r="U26" s="2"/>
      <c r="V26" s="6">
        <f t="shared" si="5"/>
        <v>0</v>
      </c>
      <c r="W26" s="2"/>
      <c r="X26" s="2">
        <f t="shared" si="6"/>
        <v>-181.5</v>
      </c>
      <c r="Y26" s="2"/>
      <c r="Z26" s="6">
        <f t="shared" si="7"/>
        <v>-0.28947368421052633</v>
      </c>
    </row>
    <row r="27" spans="1:26" s="69" customFormat="1" ht="15" hidden="1" customHeight="1" outlineLevel="2" x14ac:dyDescent="0.3">
      <c r="A27" s="26"/>
      <c r="B27" s="12" t="str">
        <f>CONCATENATE("          ","6309"," - ","TELEPHONE")</f>
        <v xml:space="preserve">          6309 - TELEPHONE</v>
      </c>
      <c r="C27" s="12"/>
      <c r="D27" s="8">
        <v>36</v>
      </c>
      <c r="E27" s="3"/>
      <c r="F27" s="7">
        <f t="shared" si="0"/>
        <v>0</v>
      </c>
      <c r="G27" s="3"/>
      <c r="H27" s="8">
        <v>36</v>
      </c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>
        <v>445.5</v>
      </c>
      <c r="Q27" s="3"/>
      <c r="R27" s="7">
        <f t="shared" si="4"/>
        <v>0</v>
      </c>
      <c r="S27" s="3"/>
      <c r="T27" s="8">
        <v>627</v>
      </c>
      <c r="U27" s="3"/>
      <c r="V27" s="7">
        <f t="shared" si="5"/>
        <v>0</v>
      </c>
      <c r="W27" s="3"/>
      <c r="X27" s="8">
        <f t="shared" si="6"/>
        <v>-181.5</v>
      </c>
      <c r="Y27" s="3"/>
      <c r="Z27" s="7">
        <f t="shared" si="7"/>
        <v>-0.28947368421052633</v>
      </c>
    </row>
    <row r="28" spans="1:26" s="64" customFormat="1" ht="15" customHeight="1" x14ac:dyDescent="0.3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3">
      <c r="A29" s="11"/>
      <c r="B29" s="27" t="s">
        <v>290</v>
      </c>
      <c r="C29" s="11"/>
      <c r="D29" s="5">
        <f>SUM(OSRRefD25x_0)</f>
        <v>2069.92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2069.92</v>
      </c>
      <c r="M29" s="5"/>
      <c r="N29" s="13">
        <f>IF(H29=0,0,L29/H29)</f>
        <v>0</v>
      </c>
      <c r="O29" s="11"/>
      <c r="P29" s="5">
        <f>SUM(OSRRefP25x_0)</f>
        <v>128098.77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128098.77</v>
      </c>
      <c r="Y29" s="5"/>
      <c r="Z29" s="13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","9150"," - ","MISC. INCOME")</f>
        <v xml:space="preserve">          9150 - MISC. INCOME</v>
      </c>
      <c r="C30" s="12"/>
      <c r="D30" s="3">
        <f>--2069.92</f>
        <v>2069.92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2069.92</v>
      </c>
      <c r="M30" s="3"/>
      <c r="N30" s="20">
        <f>IF(H30=0,0,L30/H30)</f>
        <v>0</v>
      </c>
      <c r="O30" s="12"/>
      <c r="P30" s="3">
        <f>--128098.77</f>
        <v>128098.77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128098.77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291</v>
      </c>
      <c r="C32" s="28"/>
      <c r="D32" s="23">
        <f>+D16-D18+D29</f>
        <v>2018.51</v>
      </c>
      <c r="E32" s="15"/>
      <c r="F32" s="22">
        <f>IF(D$12=0,0,D32/D$12)</f>
        <v>0</v>
      </c>
      <c r="G32" s="15"/>
      <c r="H32" s="23">
        <f>+H16-H18+H29</f>
        <v>-47.55</v>
      </c>
      <c r="I32" s="15"/>
      <c r="J32" s="22">
        <f>IF(H$12=0,0,H32/H$12)</f>
        <v>0</v>
      </c>
      <c r="K32" s="17"/>
      <c r="L32" s="23">
        <f>+D32-H32</f>
        <v>2066.06</v>
      </c>
      <c r="M32" s="17"/>
      <c r="N32" s="22">
        <f>IF(H32=0,0,L32/H32)</f>
        <v>-43.450262881177707</v>
      </c>
      <c r="O32" s="27"/>
      <c r="P32" s="23">
        <f>+P16-P18+P29</f>
        <v>119273.13</v>
      </c>
      <c r="Q32" s="15"/>
      <c r="R32" s="22">
        <f>IF(P$12=0,0,P32/P$12)</f>
        <v>0</v>
      </c>
      <c r="S32" s="15"/>
      <c r="T32" s="23">
        <f>+T16-T18+T29</f>
        <v>-3102.7400000000002</v>
      </c>
      <c r="U32" s="15"/>
      <c r="V32" s="22">
        <f>IF(T$12=0,0,T32/T$12)</f>
        <v>0</v>
      </c>
      <c r="W32" s="17"/>
      <c r="X32" s="23">
        <f>+P32-T32</f>
        <v>122375.87000000001</v>
      </c>
      <c r="Y32" s="17"/>
      <c r="Z32" s="22">
        <f>IF(T32=0,0,X32/T32)</f>
        <v>-39.441226142055086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293</v>
      </c>
      <c r="C36" s="28"/>
      <c r="D36" s="33">
        <f>+D32-D34</f>
        <v>2018.51</v>
      </c>
      <c r="E36" s="15"/>
      <c r="F36" s="34">
        <f>IF(D$12=0,0,D36/D$12)</f>
        <v>0</v>
      </c>
      <c r="G36" s="15"/>
      <c r="H36" s="33">
        <f>+H32-H34</f>
        <v>-47.55</v>
      </c>
      <c r="I36" s="15"/>
      <c r="J36" s="34">
        <f>IF(H$12=0,0,H36/H$12)</f>
        <v>0</v>
      </c>
      <c r="K36" s="17"/>
      <c r="L36" s="33">
        <f>D36-H36</f>
        <v>2066.06</v>
      </c>
      <c r="M36" s="17"/>
      <c r="N36" s="34">
        <f>IF(H36=0,0,L36/H36)</f>
        <v>-43.450262881177707</v>
      </c>
      <c r="O36" s="27"/>
      <c r="P36" s="33">
        <f>+P32-P34</f>
        <v>119273.13</v>
      </c>
      <c r="Q36" s="15"/>
      <c r="R36" s="34">
        <f>IF(P$12=0,0,P36/P$12)</f>
        <v>0</v>
      </c>
      <c r="S36" s="15"/>
      <c r="T36" s="33">
        <f>+T32-T34</f>
        <v>-3102.7400000000002</v>
      </c>
      <c r="U36" s="15"/>
      <c r="V36" s="34">
        <f>IF(T$12=0,0,T36/T$12)</f>
        <v>0</v>
      </c>
      <c r="W36" s="17"/>
      <c r="X36" s="33">
        <f>P36-T36</f>
        <v>122375.87000000001</v>
      </c>
      <c r="Y36" s="17"/>
      <c r="Z36" s="34">
        <f>IF(T36=0,0,X36/T36)</f>
        <v>-39.441226142055086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296</v>
      </c>
      <c r="C39" s="28"/>
      <c r="D39" s="35">
        <f>SUM(D36:D38)</f>
        <v>2018.51</v>
      </c>
      <c r="E39" s="15"/>
      <c r="F39" s="29">
        <f>IF(D$12=0,0,D39/D$12)</f>
        <v>0</v>
      </c>
      <c r="G39" s="15"/>
      <c r="H39" s="35">
        <f>SUM(H36:H38)</f>
        <v>-47.55</v>
      </c>
      <c r="I39" s="15"/>
      <c r="J39" s="29">
        <f>IF(H$12=0,0,H39/H$12)</f>
        <v>0</v>
      </c>
      <c r="K39" s="17"/>
      <c r="L39" s="35">
        <f>+D39-H39</f>
        <v>2066.06</v>
      </c>
      <c r="M39" s="17"/>
      <c r="N39" s="29">
        <f>IF(H39=0,0,L39/H39)</f>
        <v>-43.450262881177707</v>
      </c>
      <c r="O39" s="27"/>
      <c r="P39" s="35">
        <f>SUM(P36:P38)</f>
        <v>119273.13</v>
      </c>
      <c r="Q39" s="15"/>
      <c r="R39" s="29">
        <f>IF(P$12=0,0,P39/P$12)</f>
        <v>0</v>
      </c>
      <c r="S39" s="15"/>
      <c r="T39" s="35">
        <f>SUM(T36:T38)</f>
        <v>-3102.7400000000002</v>
      </c>
      <c r="U39" s="15"/>
      <c r="V39" s="29">
        <f>IF(T$12=0,0,T39/T$12)</f>
        <v>0</v>
      </c>
      <c r="W39" s="17"/>
      <c r="X39" s="35">
        <f>+P39-T39</f>
        <v>122375.87000000001</v>
      </c>
      <c r="Y39" s="17"/>
      <c r="Z39" s="29">
        <f>IF(T39=0,0,X39/T39)</f>
        <v>-39.441226142055086</v>
      </c>
    </row>
    <row r="40" spans="1:26" ht="15" customHeight="1" x14ac:dyDescent="0.3">
      <c r="A40" s="10"/>
      <c r="C40" s="10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A41" s="10"/>
      <c r="B41" s="50">
        <v>44634.887810300927</v>
      </c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A42" s="10"/>
      <c r="B42" s="58" t="s">
        <v>297</v>
      </c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  <row r="43" spans="1:26" ht="15" customHeight="1" x14ac:dyDescent="0.3">
      <c r="A43" s="10"/>
      <c r="B43" s="56"/>
      <c r="D43" s="18"/>
      <c r="E43" s="18"/>
      <c r="G43" s="18"/>
      <c r="H43" s="18"/>
      <c r="I43" s="18"/>
      <c r="J43" s="41"/>
      <c r="K43" s="18"/>
      <c r="L43" s="18"/>
      <c r="M43" s="18"/>
      <c r="P43" s="18"/>
      <c r="Q43" s="18"/>
      <c r="R43" s="41"/>
      <c r="S43" s="18"/>
      <c r="T43" s="18"/>
      <c r="U43" s="18"/>
      <c r="V43" s="41"/>
      <c r="W43" s="18"/>
      <c r="X43" s="18"/>
    </row>
    <row r="44" spans="1:26" ht="15" customHeight="1" x14ac:dyDescent="0.3">
      <c r="D44" s="18"/>
      <c r="E44" s="18"/>
      <c r="G44" s="18"/>
      <c r="H44" s="18"/>
      <c r="I44" s="18"/>
      <c r="J44" s="41"/>
      <c r="K44" s="18"/>
      <c r="L44" s="18"/>
      <c r="M44" s="18"/>
      <c r="P44" s="18"/>
      <c r="Q44" s="18"/>
      <c r="R44" s="41"/>
      <c r="S44" s="18"/>
      <c r="T44" s="18"/>
      <c r="U44" s="18"/>
      <c r="V44" s="41"/>
      <c r="W44" s="18"/>
      <c r="X44" s="18"/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F377-83A2-69D3-30B2-7FF15D567935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","424"," - ","Blair Field")</f>
        <v>Department 424 - Blair Field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954.29</v>
      </c>
      <c r="E18" s="21"/>
      <c r="F18" s="30">
        <f t="shared" ref="F18:F26" si="0">IF(D$12=0,0,D18/D$12)</f>
        <v>0</v>
      </c>
      <c r="G18" s="21"/>
      <c r="H18" s="21" cm="1">
        <f t="array" ref="H18">SUM(OSRRefH22x_0)</f>
        <v>680.33</v>
      </c>
      <c r="I18" s="21"/>
      <c r="J18" s="30">
        <f t="shared" ref="J18:J26" si="1">IF(H$12=0,0,H18/H$12)</f>
        <v>0</v>
      </c>
      <c r="K18" s="5"/>
      <c r="L18" s="21">
        <f t="shared" ref="L18:L26" si="2">+D18-H18</f>
        <v>273.95999999999992</v>
      </c>
      <c r="M18" s="5"/>
      <c r="N18" s="30">
        <f t="shared" ref="N18:N26" si="3">IF(H18=0,0,L18/H18)</f>
        <v>0.40268693134214267</v>
      </c>
      <c r="O18" s="11"/>
      <c r="P18" s="21" cm="1">
        <f t="array" ref="P18">SUM(OSRRefP22x_0)</f>
        <v>4313.32</v>
      </c>
      <c r="Q18" s="21"/>
      <c r="R18" s="30">
        <f t="shared" ref="R18:R26" si="4">IF(P$12=0,0,P18/P$12)</f>
        <v>0</v>
      </c>
      <c r="S18" s="21"/>
      <c r="T18" s="21" cm="1">
        <f t="array" ref="T18">SUM(OSRRefT22x_0)</f>
        <v>4940.21</v>
      </c>
      <c r="U18" s="21"/>
      <c r="V18" s="30">
        <f t="shared" ref="V18:V26" si="5">IF(T$12=0,0,T18/T$12)</f>
        <v>0</v>
      </c>
      <c r="W18" s="5"/>
      <c r="X18" s="21">
        <f t="shared" ref="X18:X26" si="6">+P18-T18</f>
        <v>-626.89000000000033</v>
      </c>
      <c r="Y18" s="5"/>
      <c r="Z18" s="30">
        <f t="shared" ref="Z18:Z26" si="7">IF(T18=0,0,X18/T18)</f>
        <v>-0.12689541537707918</v>
      </c>
    </row>
    <row r="19" spans="1:26" s="68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479.29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3834.32</v>
      </c>
      <c r="Q19" s="2"/>
      <c r="R19" s="6">
        <f t="shared" si="4"/>
        <v>0</v>
      </c>
      <c r="S19" s="2"/>
      <c r="T19" s="2">
        <f>SUM(OSRRefT22_0x_0)</f>
        <v>3834.32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69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479.29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3834.32</v>
      </c>
      <c r="Q20" s="3"/>
      <c r="R20" s="7">
        <f t="shared" si="4"/>
        <v>0</v>
      </c>
      <c r="S20" s="3"/>
      <c r="T20" s="8">
        <v>3834.32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68" customFormat="1" ht="15" customHeight="1" outlineLevel="1" collapsed="1" x14ac:dyDescent="0.3">
      <c r="A21" s="25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475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475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523.54999999999995</v>
      </c>
      <c r="U21" s="2"/>
      <c r="V21" s="6">
        <f t="shared" si="5"/>
        <v>0</v>
      </c>
      <c r="W21" s="2"/>
      <c r="X21" s="2">
        <f t="shared" si="6"/>
        <v>-44.549999999999955</v>
      </c>
      <c r="Y21" s="2"/>
      <c r="Z21" s="6">
        <f t="shared" si="7"/>
        <v>-8.5092159297106215E-2</v>
      </c>
    </row>
    <row r="22" spans="1:26" s="69" customFormat="1" ht="15" hidden="1" customHeight="1" outlineLevel="2" x14ac:dyDescent="0.3">
      <c r="A22" s="26"/>
      <c r="B22" s="12" t="str">
        <f>CONCATENATE("          ","6279"," - ","GENERAL EXPENSE")</f>
        <v xml:space="preserve">          6279 - GENERAL EXPENSE</v>
      </c>
      <c r="C22" s="12"/>
      <c r="D22" s="8">
        <v>475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475</v>
      </c>
      <c r="M22" s="3"/>
      <c r="N22" s="7">
        <f t="shared" si="3"/>
        <v>0</v>
      </c>
      <c r="O22" s="12"/>
      <c r="P22" s="8">
        <v>479</v>
      </c>
      <c r="Q22" s="3"/>
      <c r="R22" s="7">
        <f t="shared" si="4"/>
        <v>0</v>
      </c>
      <c r="S22" s="3"/>
      <c r="T22" s="8">
        <v>523.54999999999995</v>
      </c>
      <c r="U22" s="3"/>
      <c r="V22" s="7">
        <f t="shared" si="5"/>
        <v>0</v>
      </c>
      <c r="W22" s="3"/>
      <c r="X22" s="8">
        <f t="shared" si="6"/>
        <v>-44.549999999999955</v>
      </c>
      <c r="Y22" s="3"/>
      <c r="Z22" s="7">
        <f t="shared" si="7"/>
        <v>-8.5092159297106215E-2</v>
      </c>
    </row>
    <row r="23" spans="1:26" s="68" customFormat="1" ht="15" customHeight="1" outlineLevel="1" collapsed="1" x14ac:dyDescent="0.3">
      <c r="A23" s="25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154.33000000000001</v>
      </c>
      <c r="U23" s="2"/>
      <c r="V23" s="6">
        <f t="shared" si="5"/>
        <v>0</v>
      </c>
      <c r="W23" s="2"/>
      <c r="X23" s="2">
        <f t="shared" si="6"/>
        <v>-154.33000000000001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","6373"," - ","MAINTENANCE CONTRACTS")</f>
        <v xml:space="preserve">          6373 - MAINTENANCE CONTRACTS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154.33000000000001</v>
      </c>
      <c r="U24" s="3"/>
      <c r="V24" s="7">
        <f t="shared" si="5"/>
        <v>0</v>
      </c>
      <c r="W24" s="3"/>
      <c r="X24" s="8">
        <f t="shared" si="6"/>
        <v>-154.33000000000001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201.04</v>
      </c>
      <c r="I25" s="2"/>
      <c r="J25" s="6">
        <f t="shared" si="1"/>
        <v>0</v>
      </c>
      <c r="K25" s="2"/>
      <c r="L25" s="2">
        <f t="shared" si="2"/>
        <v>-201.04</v>
      </c>
      <c r="M25" s="2"/>
      <c r="N25" s="6">
        <f t="shared" si="3"/>
        <v>-1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428.01</v>
      </c>
      <c r="U25" s="2"/>
      <c r="V25" s="6">
        <f t="shared" si="5"/>
        <v>0</v>
      </c>
      <c r="W25" s="2"/>
      <c r="X25" s="2">
        <f t="shared" si="6"/>
        <v>-428.01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","6309"," - ","TELEPHONE")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>
        <v>201.04</v>
      </c>
      <c r="I26" s="3"/>
      <c r="J26" s="7">
        <f t="shared" si="1"/>
        <v>0</v>
      </c>
      <c r="K26" s="3"/>
      <c r="L26" s="8">
        <f t="shared" si="2"/>
        <v>-201.04</v>
      </c>
      <c r="M26" s="3"/>
      <c r="N26" s="7">
        <f t="shared" si="3"/>
        <v>-1</v>
      </c>
      <c r="O26" s="12"/>
      <c r="P26" s="8"/>
      <c r="Q26" s="3"/>
      <c r="R26" s="7">
        <f t="shared" si="4"/>
        <v>0</v>
      </c>
      <c r="S26" s="3"/>
      <c r="T26" s="8">
        <v>428.01</v>
      </c>
      <c r="U26" s="3"/>
      <c r="V26" s="7">
        <f t="shared" si="5"/>
        <v>0</v>
      </c>
      <c r="W26" s="3"/>
      <c r="X26" s="8">
        <f t="shared" si="6"/>
        <v>-428.01</v>
      </c>
      <c r="Y26" s="3"/>
      <c r="Z26" s="7">
        <f t="shared" si="7"/>
        <v>-1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3">
        <f>+D16-D18+D28</f>
        <v>-954.29</v>
      </c>
      <c r="E30" s="15"/>
      <c r="F30" s="22">
        <f>IF(D$12=0,0,D30/D$12)</f>
        <v>0</v>
      </c>
      <c r="G30" s="15"/>
      <c r="H30" s="23">
        <f>+H16-H18+H28</f>
        <v>-680.33</v>
      </c>
      <c r="I30" s="15"/>
      <c r="J30" s="22">
        <f>IF(H$12=0,0,H30/H$12)</f>
        <v>0</v>
      </c>
      <c r="K30" s="17"/>
      <c r="L30" s="23">
        <f>+D30-H30</f>
        <v>-273.95999999999992</v>
      </c>
      <c r="M30" s="17"/>
      <c r="N30" s="22">
        <f>IF(H30=0,0,L30/H30)</f>
        <v>0.40268693134214267</v>
      </c>
      <c r="O30" s="27"/>
      <c r="P30" s="23">
        <f>+P16-P18+P28</f>
        <v>-4313.32</v>
      </c>
      <c r="Q30" s="15"/>
      <c r="R30" s="22">
        <f>IF(P$12=0,0,P30/P$12)</f>
        <v>0</v>
      </c>
      <c r="S30" s="15"/>
      <c r="T30" s="23">
        <f>+T16-T18+T28</f>
        <v>-4940.21</v>
      </c>
      <c r="U30" s="15"/>
      <c r="V30" s="22">
        <f>IF(T$12=0,0,T30/T$12)</f>
        <v>0</v>
      </c>
      <c r="W30" s="17"/>
      <c r="X30" s="23">
        <f>+P30-T30</f>
        <v>626.89000000000033</v>
      </c>
      <c r="Y30" s="17"/>
      <c r="Z30" s="22">
        <f>IF(T30=0,0,X30/T30)</f>
        <v>-0.12689541537707918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3">
        <f>+D30-D32</f>
        <v>-954.29</v>
      </c>
      <c r="E34" s="15"/>
      <c r="F34" s="34">
        <f>IF(D$12=0,0,D34/D$12)</f>
        <v>0</v>
      </c>
      <c r="G34" s="15"/>
      <c r="H34" s="33">
        <f>+H30-H32</f>
        <v>-680.33</v>
      </c>
      <c r="I34" s="15"/>
      <c r="J34" s="34">
        <f>IF(H$12=0,0,H34/H$12)</f>
        <v>0</v>
      </c>
      <c r="K34" s="17"/>
      <c r="L34" s="33">
        <f>D34-H34</f>
        <v>-273.95999999999992</v>
      </c>
      <c r="M34" s="17"/>
      <c r="N34" s="34">
        <f>IF(H34=0,0,L34/H34)</f>
        <v>0.40268693134214267</v>
      </c>
      <c r="O34" s="27"/>
      <c r="P34" s="33">
        <f>+P30-P32</f>
        <v>-4313.32</v>
      </c>
      <c r="Q34" s="15"/>
      <c r="R34" s="34">
        <f>IF(P$12=0,0,P34/P$12)</f>
        <v>0</v>
      </c>
      <c r="S34" s="15"/>
      <c r="T34" s="33">
        <f>+T30-T32</f>
        <v>-4940.21</v>
      </c>
      <c r="U34" s="15"/>
      <c r="V34" s="34">
        <f>IF(T$12=0,0,T34/T$12)</f>
        <v>0</v>
      </c>
      <c r="W34" s="17"/>
      <c r="X34" s="33">
        <f>P34-T34</f>
        <v>626.89000000000033</v>
      </c>
      <c r="Y34" s="17"/>
      <c r="Z34" s="34">
        <f>IF(T34=0,0,X34/T34)</f>
        <v>-0.12689541537707918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35">
        <f>SUM(D34:D36)</f>
        <v>-954.29</v>
      </c>
      <c r="E37" s="15"/>
      <c r="F37" s="29">
        <f>IF(D$12=0,0,D37/D$12)</f>
        <v>0</v>
      </c>
      <c r="G37" s="15"/>
      <c r="H37" s="35">
        <f>SUM(H34:H36)</f>
        <v>-680.33</v>
      </c>
      <c r="I37" s="15"/>
      <c r="J37" s="29">
        <f>IF(H$12=0,0,H37/H$12)</f>
        <v>0</v>
      </c>
      <c r="K37" s="17"/>
      <c r="L37" s="35">
        <f>+D37-H37</f>
        <v>-273.95999999999992</v>
      </c>
      <c r="M37" s="17"/>
      <c r="N37" s="29">
        <f>IF(H37=0,0,L37/H37)</f>
        <v>0.40268693134214267</v>
      </c>
      <c r="O37" s="27"/>
      <c r="P37" s="35">
        <f>SUM(P34:P36)</f>
        <v>-4313.32</v>
      </c>
      <c r="Q37" s="15"/>
      <c r="R37" s="29">
        <f>IF(P$12=0,0,P37/P$12)</f>
        <v>0</v>
      </c>
      <c r="S37" s="15"/>
      <c r="T37" s="35">
        <f>SUM(T34:T36)</f>
        <v>-4940.21</v>
      </c>
      <c r="U37" s="15"/>
      <c r="V37" s="29">
        <f>IF(T$12=0,0,T37/T$12)</f>
        <v>0</v>
      </c>
      <c r="W37" s="17"/>
      <c r="X37" s="35">
        <f>+P37-T37</f>
        <v>626.89000000000033</v>
      </c>
      <c r="Y37" s="17"/>
      <c r="Z37" s="29">
        <f>IF(T37=0,0,X37/T37)</f>
        <v>-0.12689541537707918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0">
        <v>44634.887810300927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8" t="s">
        <v>297</v>
      </c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A41" s="10"/>
      <c r="B41" s="56"/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1"/>
      <c r="K42" s="18"/>
      <c r="L42" s="18"/>
      <c r="M42" s="18"/>
      <c r="P42" s="18"/>
      <c r="Q42" s="18"/>
      <c r="R42" s="41"/>
      <c r="S42" s="18"/>
      <c r="T42" s="18"/>
      <c r="U42" s="18"/>
      <c r="V42" s="41"/>
      <c r="W42" s="18"/>
      <c r="X42" s="18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209F7-E523-E8C3-E576-E493226146E5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","425"," - ","Events Center")</f>
        <v>Department 425 - Events Center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5743.27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5743.27</v>
      </c>
      <c r="M12" s="5"/>
      <c r="N12" s="13">
        <f>IF(H12=0,0,L12/H12)</f>
        <v>0</v>
      </c>
      <c r="O12" s="11"/>
      <c r="P12" s="5">
        <f>SUM(OSRRefP13x_0)</f>
        <v>14535.74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14535.74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--5743.27</f>
        <v>5743.27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5743.27</v>
      </c>
      <c r="M13" s="3"/>
      <c r="N13" s="20">
        <f>IF(H13=0,0,L13/H13)</f>
        <v>0</v>
      </c>
      <c r="O13" s="12"/>
      <c r="P13" s="3">
        <f>--14535.74</f>
        <v>14535.74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14535.74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>
        <f>SUM(OSRRefD16x_0)</f>
        <v>1127.48</v>
      </c>
      <c r="E15" s="5"/>
      <c r="F15" s="13">
        <f>IF(D$12=0,0,D15/D$12)</f>
        <v>0.19631325011709355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1127.48</v>
      </c>
      <c r="M15" s="5"/>
      <c r="N15" s="13">
        <f>IF(H15=0,0,L15/H15)</f>
        <v>0</v>
      </c>
      <c r="O15" s="11"/>
      <c r="P15" s="5">
        <f>SUM(OSRRefP16x_0)</f>
        <v>8167.25</v>
      </c>
      <c r="Q15" s="5"/>
      <c r="R15" s="13">
        <f>IF(P$12=0,0,P15/P$12)</f>
        <v>0.56187369889665062</v>
      </c>
      <c r="S15" s="5"/>
      <c r="T15" s="5">
        <f>SUM(OSRRefT16x_0)</f>
        <v>0</v>
      </c>
      <c r="U15" s="5"/>
      <c r="V15" s="13">
        <f>IF(T$12=0,0,T15/T$12)</f>
        <v>0</v>
      </c>
      <c r="W15" s="5"/>
      <c r="X15" s="5">
        <f>+P15-T15</f>
        <v>8167.25</v>
      </c>
      <c r="Y15" s="5"/>
      <c r="Z15" s="13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1127.48</v>
      </c>
      <c r="E16" s="3"/>
      <c r="F16" s="20">
        <f>IF(D$12=0,0,D16/D$12)</f>
        <v>0.19631325011709355</v>
      </c>
      <c r="G16" s="3"/>
      <c r="H16" s="3"/>
      <c r="I16" s="3"/>
      <c r="J16" s="20">
        <f>IF(H$12=0,0,H16/H$12)</f>
        <v>0</v>
      </c>
      <c r="K16" s="3"/>
      <c r="L16" s="3">
        <f>+D16-H16</f>
        <v>1127.48</v>
      </c>
      <c r="M16" s="3"/>
      <c r="N16" s="20">
        <f>IF(H16=0,0,L16/H16)</f>
        <v>0</v>
      </c>
      <c r="O16" s="12"/>
      <c r="P16" s="3">
        <v>8167.25</v>
      </c>
      <c r="Q16" s="3"/>
      <c r="R16" s="20">
        <f>IF(P$12=0,0,P16/P$12)</f>
        <v>0.56187369889665062</v>
      </c>
      <c r="S16" s="3"/>
      <c r="T16" s="3"/>
      <c r="U16" s="3"/>
      <c r="V16" s="20">
        <f>IF(T$12=0,0,T16/T$12)</f>
        <v>0</v>
      </c>
      <c r="W16" s="3"/>
      <c r="X16" s="3">
        <f>+P16-T16</f>
        <v>8167.25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>
        <f>D12-D15</f>
        <v>4615.7900000000009</v>
      </c>
      <c r="E18" s="15"/>
      <c r="F18" s="22">
        <f>IF(D$12=0,0,D18/D$12)</f>
        <v>0.80368674988290656</v>
      </c>
      <c r="G18" s="15"/>
      <c r="H18" s="23">
        <f>H12-H15</f>
        <v>0</v>
      </c>
      <c r="I18" s="15"/>
      <c r="J18" s="22">
        <f>IF(H$12=0,0,H18/H$12)</f>
        <v>0</v>
      </c>
      <c r="K18" s="17"/>
      <c r="L18" s="23">
        <f>+D18-H18</f>
        <v>4615.7900000000009</v>
      </c>
      <c r="M18" s="17"/>
      <c r="N18" s="22">
        <f>IF(H18=0,0,L18/H18)</f>
        <v>0</v>
      </c>
      <c r="O18" s="27"/>
      <c r="P18" s="23">
        <f>P12-P15</f>
        <v>6368.49</v>
      </c>
      <c r="Q18" s="15"/>
      <c r="R18" s="22">
        <f>IF(P$12=0,0,P18/P$12)</f>
        <v>0.43812630110334938</v>
      </c>
      <c r="S18" s="15"/>
      <c r="T18" s="23">
        <f>T12-T15</f>
        <v>0</v>
      </c>
      <c r="U18" s="15"/>
      <c r="V18" s="22">
        <f>IF(T$12=0,0,T18/T$12)</f>
        <v>0</v>
      </c>
      <c r="W18" s="17"/>
      <c r="X18" s="23">
        <f>+P18-T18</f>
        <v>6368.49</v>
      </c>
      <c r="Y18" s="17"/>
      <c r="Z18" s="22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cm="1">
        <f t="array" ref="D20">SUM(OSRRefD22x_0)</f>
        <v>3100.85</v>
      </c>
      <c r="E20" s="21"/>
      <c r="F20" s="30">
        <f t="shared" ref="F20:F43" si="0">IF(D$12=0,0,D20/D$12)</f>
        <v>0.53991019053605349</v>
      </c>
      <c r="G20" s="21"/>
      <c r="H20" s="21" cm="1">
        <f t="array" ref="H20">SUM(OSRRefH22x_0)</f>
        <v>1000.91</v>
      </c>
      <c r="I20" s="21"/>
      <c r="J20" s="30">
        <f t="shared" ref="J20:J43" si="1">IF(H$12=0,0,H20/H$12)</f>
        <v>0</v>
      </c>
      <c r="K20" s="5"/>
      <c r="L20" s="21">
        <f t="shared" ref="L20:L43" si="2">+D20-H20</f>
        <v>2099.94</v>
      </c>
      <c r="M20" s="5"/>
      <c r="N20" s="30">
        <f t="shared" ref="N20:N43" si="3">IF(H20=0,0,L20/H20)</f>
        <v>2.0980307919792991</v>
      </c>
      <c r="O20" s="11"/>
      <c r="P20" s="21" cm="1">
        <f t="array" ref="P20">SUM(OSRRefP22x_0)</f>
        <v>15590.460000000001</v>
      </c>
      <c r="Q20" s="21"/>
      <c r="R20" s="30">
        <f t="shared" ref="R20:R43" si="4">IF(P$12=0,0,P20/P$12)</f>
        <v>1.072560461318103</v>
      </c>
      <c r="S20" s="21"/>
      <c r="T20" s="21" cm="1">
        <f t="array" ref="T20">SUM(OSRRefT22x_0)</f>
        <v>11635.96</v>
      </c>
      <c r="U20" s="21"/>
      <c r="V20" s="30">
        <f t="shared" ref="V20:V43" si="5">IF(T$12=0,0,T20/T$12)</f>
        <v>0</v>
      </c>
      <c r="W20" s="5"/>
      <c r="X20" s="21">
        <f t="shared" ref="X20:X43" si="6">+P20-T20</f>
        <v>3954.5000000000018</v>
      </c>
      <c r="Y20" s="5"/>
      <c r="Z20" s="30">
        <f t="shared" ref="Z20:Z43" si="7">IF(T20=0,0,X20/T20)</f>
        <v>0.33985163235349747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1420.5</v>
      </c>
      <c r="U21" s="2"/>
      <c r="V21" s="6">
        <f t="shared" si="5"/>
        <v>0</v>
      </c>
      <c r="W21" s="2"/>
      <c r="X21" s="2">
        <f t="shared" si="6"/>
        <v>-1420.5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","6111"," - ","F.I.C.A.")</f>
        <v xml:space="preserve">          6111 - F.I.C.A.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171.54</v>
      </c>
      <c r="U22" s="3"/>
      <c r="V22" s="7">
        <f t="shared" si="5"/>
        <v>0</v>
      </c>
      <c r="W22" s="3"/>
      <c r="X22" s="8">
        <f t="shared" si="6"/>
        <v>-171.54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699.3</v>
      </c>
      <c r="U23" s="3"/>
      <c r="V23" s="7">
        <f t="shared" si="5"/>
        <v>0</v>
      </c>
      <c r="W23" s="3"/>
      <c r="X23" s="8">
        <f t="shared" si="6"/>
        <v>-699.3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355.22</v>
      </c>
      <c r="U24" s="3"/>
      <c r="V24" s="7">
        <f t="shared" si="5"/>
        <v>0</v>
      </c>
      <c r="W24" s="3"/>
      <c r="X24" s="8">
        <f t="shared" si="6"/>
        <v>-355.22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88.46</v>
      </c>
      <c r="U25" s="3"/>
      <c r="V25" s="7">
        <f t="shared" si="5"/>
        <v>0</v>
      </c>
      <c r="W25" s="3"/>
      <c r="X25" s="8">
        <f t="shared" si="6"/>
        <v>-88.46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105.98</v>
      </c>
      <c r="U26" s="3"/>
      <c r="V26" s="7">
        <f t="shared" si="5"/>
        <v>0</v>
      </c>
      <c r="W26" s="3"/>
      <c r="X26" s="8">
        <f t="shared" si="6"/>
        <v>-105.98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","*Payroll                                          ")</f>
        <v xml:space="preserve">     *Payroll                                          </v>
      </c>
      <c r="C27" s="14"/>
      <c r="D27" s="2">
        <f>SUM(OSRRefD22_1x_0)</f>
        <v>0</v>
      </c>
      <c r="E27" s="2"/>
      <c r="F27" s="6">
        <f t="shared" si="0"/>
        <v>0</v>
      </c>
      <c r="G27" s="2"/>
      <c r="H27" s="2">
        <f>SUM(OSRRefH22_1x_0)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SUM(OSRRefP22_1x_0)</f>
        <v>0</v>
      </c>
      <c r="Q27" s="2"/>
      <c r="R27" s="6">
        <f t="shared" si="4"/>
        <v>0</v>
      </c>
      <c r="S27" s="2"/>
      <c r="T27" s="2">
        <f>SUM(OSRRefT22_1x_0)</f>
        <v>1378.61</v>
      </c>
      <c r="U27" s="2"/>
      <c r="V27" s="6">
        <f t="shared" si="5"/>
        <v>0</v>
      </c>
      <c r="W27" s="2"/>
      <c r="X27" s="2">
        <f t="shared" si="6"/>
        <v>-1378.61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","6002"," - ","STAFF SALARIES")</f>
        <v xml:space="preserve">          6002 - STAFF SALARIES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1378.61</v>
      </c>
      <c r="U28" s="3"/>
      <c r="V28" s="7">
        <f t="shared" si="5"/>
        <v>0</v>
      </c>
      <c r="W28" s="3"/>
      <c r="X28" s="8">
        <f t="shared" si="6"/>
        <v>-1378.61</v>
      </c>
      <c r="Y28" s="3"/>
      <c r="Z28" s="7">
        <f t="shared" si="7"/>
        <v>-1</v>
      </c>
    </row>
    <row r="29" spans="1:26" s="68" customFormat="1" ht="15" customHeight="1" outlineLevel="1" collapsed="1" x14ac:dyDescent="0.3">
      <c r="A29" s="25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SUM(OSRRefD22_2x_0)</f>
        <v>110.82</v>
      </c>
      <c r="E29" s="2"/>
      <c r="F29" s="6">
        <f t="shared" si="0"/>
        <v>1.9295627752134236E-2</v>
      </c>
      <c r="G29" s="2"/>
      <c r="H29" s="2">
        <f>SUM(OSRRefH22_2x_0)</f>
        <v>0</v>
      </c>
      <c r="I29" s="2"/>
      <c r="J29" s="6">
        <f t="shared" si="1"/>
        <v>0</v>
      </c>
      <c r="K29" s="2"/>
      <c r="L29" s="2">
        <f t="shared" si="2"/>
        <v>110.82</v>
      </c>
      <c r="M29" s="2"/>
      <c r="N29" s="6">
        <f t="shared" si="3"/>
        <v>0</v>
      </c>
      <c r="O29" s="14"/>
      <c r="P29" s="2">
        <f>SUM(OSRRefP22_2x_0)</f>
        <v>277.89</v>
      </c>
      <c r="Q29" s="2"/>
      <c r="R29" s="6">
        <f t="shared" si="4"/>
        <v>1.9117705737719579E-2</v>
      </c>
      <c r="S29" s="2"/>
      <c r="T29" s="2">
        <f>SUM(OSRRefT22_2x_0)</f>
        <v>0</v>
      </c>
      <c r="U29" s="2"/>
      <c r="V29" s="6">
        <f t="shared" si="5"/>
        <v>0</v>
      </c>
      <c r="W29" s="2"/>
      <c r="X29" s="2">
        <f t="shared" si="6"/>
        <v>277.89</v>
      </c>
      <c r="Y29" s="2"/>
      <c r="Z29" s="6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","6381"," - ","BANK/CREDIT CARD FEES")</f>
        <v xml:space="preserve">          6381 - BANK/CREDIT CARD FEES</v>
      </c>
      <c r="C30" s="12"/>
      <c r="D30" s="8">
        <v>110.82</v>
      </c>
      <c r="E30" s="3"/>
      <c r="F30" s="7">
        <f t="shared" si="0"/>
        <v>1.9295627752134236E-2</v>
      </c>
      <c r="G30" s="3"/>
      <c r="H30" s="8"/>
      <c r="I30" s="3"/>
      <c r="J30" s="7">
        <f t="shared" si="1"/>
        <v>0</v>
      </c>
      <c r="K30" s="3"/>
      <c r="L30" s="8">
        <f t="shared" si="2"/>
        <v>110.82</v>
      </c>
      <c r="M30" s="3"/>
      <c r="N30" s="7">
        <f t="shared" si="3"/>
        <v>0</v>
      </c>
      <c r="O30" s="12"/>
      <c r="P30" s="8">
        <v>277.89</v>
      </c>
      <c r="Q30" s="3"/>
      <c r="R30" s="7">
        <f t="shared" si="4"/>
        <v>1.9117705737719579E-2</v>
      </c>
      <c r="S30" s="3"/>
      <c r="T30" s="8"/>
      <c r="U30" s="3"/>
      <c r="V30" s="7">
        <f t="shared" si="5"/>
        <v>0</v>
      </c>
      <c r="W30" s="3"/>
      <c r="X30" s="8">
        <f t="shared" si="6"/>
        <v>277.89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","Depreciation                                      ")</f>
        <v xml:space="preserve">     Depreciation                                      </v>
      </c>
      <c r="C31" s="14"/>
      <c r="D31" s="2">
        <f>SUM(OSRRefD22_3x_0)</f>
        <v>1000.91</v>
      </c>
      <c r="E31" s="2"/>
      <c r="F31" s="6">
        <f t="shared" si="0"/>
        <v>0.17427528219986174</v>
      </c>
      <c r="G31" s="2"/>
      <c r="H31" s="2">
        <f>SUM(OSRRefH22_3x_0)</f>
        <v>1000.91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SUM(OSRRefP22_3x_0)</f>
        <v>8007.28</v>
      </c>
      <c r="Q31" s="2"/>
      <c r="R31" s="6">
        <f t="shared" si="4"/>
        <v>0.55086841124015706</v>
      </c>
      <c r="S31" s="2"/>
      <c r="T31" s="2">
        <f>SUM(OSRRefT22_3x_0)</f>
        <v>8007.28</v>
      </c>
      <c r="U31" s="2"/>
      <c r="V31" s="6">
        <f t="shared" si="5"/>
        <v>0</v>
      </c>
      <c r="W31" s="2"/>
      <c r="X31" s="2">
        <f t="shared" si="6"/>
        <v>0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","6322"," - ","EQUIPMENT DEPRECIATION EXPENSE")</f>
        <v xml:space="preserve">          6322 - EQUIPMENT DEPRECIATION EXPENSE</v>
      </c>
      <c r="C32" s="12"/>
      <c r="D32" s="8">
        <v>1000.91</v>
      </c>
      <c r="E32" s="3"/>
      <c r="F32" s="7">
        <f t="shared" si="0"/>
        <v>0.17427528219986174</v>
      </c>
      <c r="G32" s="3"/>
      <c r="H32" s="8">
        <v>1000.91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8007.28</v>
      </c>
      <c r="Q32" s="3"/>
      <c r="R32" s="7">
        <f t="shared" si="4"/>
        <v>0.55086841124015706</v>
      </c>
      <c r="S32" s="3"/>
      <c r="T32" s="8">
        <v>8007.28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","General                                           ")</f>
        <v xml:space="preserve">     General                                           </v>
      </c>
      <c r="C33" s="14"/>
      <c r="D33" s="2">
        <f>SUM(OSRRefD22_4x_0)</f>
        <v>200</v>
      </c>
      <c r="E33" s="2"/>
      <c r="F33" s="6">
        <f t="shared" si="0"/>
        <v>3.4823367175842328E-2</v>
      </c>
      <c r="G33" s="2"/>
      <c r="H33" s="2">
        <f>SUM(OSRRefH22_4x_0)</f>
        <v>0</v>
      </c>
      <c r="I33" s="2"/>
      <c r="J33" s="6">
        <f t="shared" si="1"/>
        <v>0</v>
      </c>
      <c r="K33" s="2"/>
      <c r="L33" s="2">
        <f t="shared" si="2"/>
        <v>200</v>
      </c>
      <c r="M33" s="2"/>
      <c r="N33" s="6">
        <f t="shared" si="3"/>
        <v>0</v>
      </c>
      <c r="O33" s="14"/>
      <c r="P33" s="2">
        <f>SUM(OSRRefP22_4x_0)</f>
        <v>3555</v>
      </c>
      <c r="Q33" s="2"/>
      <c r="R33" s="6">
        <f t="shared" si="4"/>
        <v>0.24456959191620103</v>
      </c>
      <c r="S33" s="2"/>
      <c r="T33" s="2">
        <f>SUM(OSRRefT22_4x_0)</f>
        <v>455</v>
      </c>
      <c r="U33" s="2"/>
      <c r="V33" s="6">
        <f t="shared" si="5"/>
        <v>0</v>
      </c>
      <c r="W33" s="2"/>
      <c r="X33" s="2">
        <f t="shared" si="6"/>
        <v>3100</v>
      </c>
      <c r="Y33" s="2"/>
      <c r="Z33" s="6">
        <f t="shared" si="7"/>
        <v>6.813186813186813</v>
      </c>
    </row>
    <row r="34" spans="1:26" s="69" customFormat="1" ht="15" hidden="1" customHeight="1" outlineLevel="2" x14ac:dyDescent="0.3">
      <c r="A34" s="26"/>
      <c r="B34" s="12" t="str">
        <f>CONCATENATE("          ","6279"," - ","GENERAL EXPENSE")</f>
        <v xml:space="preserve">          6279 - GENERAL EXPENSE</v>
      </c>
      <c r="C34" s="12"/>
      <c r="D34" s="8">
        <v>200</v>
      </c>
      <c r="E34" s="3"/>
      <c r="F34" s="7">
        <f t="shared" si="0"/>
        <v>3.4823367175842328E-2</v>
      </c>
      <c r="G34" s="3"/>
      <c r="H34" s="8"/>
      <c r="I34" s="3"/>
      <c r="J34" s="7">
        <f t="shared" si="1"/>
        <v>0</v>
      </c>
      <c r="K34" s="3"/>
      <c r="L34" s="8">
        <f t="shared" si="2"/>
        <v>200</v>
      </c>
      <c r="M34" s="3"/>
      <c r="N34" s="7">
        <f t="shared" si="3"/>
        <v>0</v>
      </c>
      <c r="O34" s="12"/>
      <c r="P34" s="8">
        <v>3555</v>
      </c>
      <c r="Q34" s="3"/>
      <c r="R34" s="7">
        <f t="shared" si="4"/>
        <v>0.24456959191620103</v>
      </c>
      <c r="S34" s="3"/>
      <c r="T34" s="8">
        <v>455</v>
      </c>
      <c r="U34" s="3"/>
      <c r="V34" s="7">
        <f t="shared" si="5"/>
        <v>0</v>
      </c>
      <c r="W34" s="3"/>
      <c r="X34" s="8">
        <f t="shared" si="6"/>
        <v>3100</v>
      </c>
      <c r="Y34" s="3"/>
      <c r="Z34" s="7">
        <f t="shared" si="7"/>
        <v>6.813186813186813</v>
      </c>
    </row>
    <row r="35" spans="1:26" s="68" customFormat="1" ht="15" customHeight="1" outlineLevel="1" collapsed="1" x14ac:dyDescent="0.3">
      <c r="A35" s="25"/>
      <c r="B35" s="14" t="str">
        <f>CONCATENATE("     ","Repair and Maintenance                            ")</f>
        <v xml:space="preserve">     Repair and Maintenance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242.03</v>
      </c>
      <c r="U35" s="2"/>
      <c r="V35" s="6">
        <f t="shared" si="5"/>
        <v>0</v>
      </c>
      <c r="W35" s="2"/>
      <c r="X35" s="2">
        <f t="shared" si="6"/>
        <v>-242.03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","6373"," - ","MAINTENANCE CONTRACTS")</f>
        <v xml:space="preserve">          6373 - MAINTENANCE CONTRACTS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235.8</v>
      </c>
      <c r="U36" s="3"/>
      <c r="V36" s="7">
        <f t="shared" si="5"/>
        <v>0</v>
      </c>
      <c r="W36" s="3"/>
      <c r="X36" s="8">
        <f t="shared" si="6"/>
        <v>-235.8</v>
      </c>
      <c r="Y36" s="3"/>
      <c r="Z36" s="7">
        <f t="shared" si="7"/>
        <v>-1</v>
      </c>
    </row>
    <row r="37" spans="1:26" s="69" customFormat="1" ht="15" hidden="1" customHeight="1" outlineLevel="2" x14ac:dyDescent="0.3">
      <c r="A37" s="26"/>
      <c r="B37" s="12" t="str">
        <f>CONCATENATE("          ","6375"," - ","OUTSIDE REPAIRS &amp; MAINTENANCE")</f>
        <v xml:space="preserve">          6375 - OUTSIDE REPAIRS &amp; MAINTENANCE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6.23</v>
      </c>
      <c r="U37" s="3"/>
      <c r="V37" s="7">
        <f t="shared" si="5"/>
        <v>0</v>
      </c>
      <c r="W37" s="3"/>
      <c r="X37" s="8">
        <f t="shared" si="6"/>
        <v>-6.23</v>
      </c>
      <c r="Y37" s="3"/>
      <c r="Z37" s="7">
        <f t="shared" si="7"/>
        <v>-1</v>
      </c>
    </row>
    <row r="38" spans="1:26" s="68" customFormat="1" ht="15" customHeight="1" outlineLevel="1" collapsed="1" x14ac:dyDescent="0.3">
      <c r="A38" s="25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2">
        <f>SUM(OSRRefD22_6x_0)</f>
        <v>1789.12</v>
      </c>
      <c r="E38" s="2"/>
      <c r="F38" s="6">
        <f t="shared" si="0"/>
        <v>0.31151591340821516</v>
      </c>
      <c r="G38" s="2"/>
      <c r="H38" s="2">
        <f>SUM(OSRRefH22_6x_0)</f>
        <v>0</v>
      </c>
      <c r="I38" s="2"/>
      <c r="J38" s="6">
        <f t="shared" si="1"/>
        <v>0</v>
      </c>
      <c r="K38" s="2"/>
      <c r="L38" s="2">
        <f t="shared" si="2"/>
        <v>1789.12</v>
      </c>
      <c r="M38" s="2"/>
      <c r="N38" s="6">
        <f t="shared" si="3"/>
        <v>0</v>
      </c>
      <c r="O38" s="14"/>
      <c r="P38" s="2">
        <f>SUM(OSRRefP22_6x_0)</f>
        <v>3634.03</v>
      </c>
      <c r="Q38" s="2"/>
      <c r="R38" s="6">
        <f t="shared" si="4"/>
        <v>0.25000653561497388</v>
      </c>
      <c r="S38" s="2"/>
      <c r="T38" s="2">
        <f>SUM(OSRRefT22_6x_0)</f>
        <v>0</v>
      </c>
      <c r="U38" s="2"/>
      <c r="V38" s="6">
        <f t="shared" si="5"/>
        <v>0</v>
      </c>
      <c r="W38" s="2"/>
      <c r="X38" s="2">
        <f t="shared" si="6"/>
        <v>3634.03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","6254"," - ","ROYALTY &amp; COMMISSIONS")</f>
        <v xml:space="preserve">          6254 - ROYALTY &amp; COMMISSIONS</v>
      </c>
      <c r="C39" s="12"/>
      <c r="D39" s="8">
        <v>1789.12</v>
      </c>
      <c r="E39" s="3"/>
      <c r="F39" s="7">
        <f t="shared" si="0"/>
        <v>0.31151591340821516</v>
      </c>
      <c r="G39" s="3"/>
      <c r="H39" s="8"/>
      <c r="I39" s="3"/>
      <c r="J39" s="7">
        <f t="shared" si="1"/>
        <v>0</v>
      </c>
      <c r="K39" s="3"/>
      <c r="L39" s="8">
        <f t="shared" si="2"/>
        <v>1789.12</v>
      </c>
      <c r="M39" s="3"/>
      <c r="N39" s="7">
        <f t="shared" si="3"/>
        <v>0</v>
      </c>
      <c r="O39" s="12"/>
      <c r="P39" s="8">
        <v>3634.03</v>
      </c>
      <c r="Q39" s="3"/>
      <c r="R39" s="7">
        <f t="shared" si="4"/>
        <v>0.25000653561497388</v>
      </c>
      <c r="S39" s="3"/>
      <c r="T39" s="8"/>
      <c r="U39" s="3"/>
      <c r="V39" s="7">
        <f t="shared" si="5"/>
        <v>0</v>
      </c>
      <c r="W39" s="3"/>
      <c r="X39" s="8">
        <f t="shared" si="6"/>
        <v>3634.03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","Supplies                                          ")</f>
        <v xml:space="preserve">     Supplies                                          </v>
      </c>
      <c r="C40" s="14"/>
      <c r="D40" s="2">
        <f>SUM(OSRRefD22_7x_0)</f>
        <v>0</v>
      </c>
      <c r="E40" s="2"/>
      <c r="F40" s="6">
        <f t="shared" si="0"/>
        <v>0</v>
      </c>
      <c r="G40" s="2"/>
      <c r="H40" s="2">
        <f>SUM(OSRRefH22_7x_0)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SUM(OSRRefP22_7x_0)</f>
        <v>116.26</v>
      </c>
      <c r="Q40" s="2"/>
      <c r="R40" s="6">
        <f t="shared" si="4"/>
        <v>7.9982168090513457E-3</v>
      </c>
      <c r="S40" s="2"/>
      <c r="T40" s="2">
        <f>SUM(OSRRefT22_7x_0)</f>
        <v>0</v>
      </c>
      <c r="U40" s="2"/>
      <c r="V40" s="6">
        <f t="shared" si="5"/>
        <v>0</v>
      </c>
      <c r="W40" s="2"/>
      <c r="X40" s="2">
        <f t="shared" si="6"/>
        <v>116.26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","6243"," - ","PAPER SUPPLIES")</f>
        <v xml:space="preserve">          6243 - PAPER SUPPLIES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116.26</v>
      </c>
      <c r="Q41" s="3"/>
      <c r="R41" s="7">
        <f t="shared" si="4"/>
        <v>7.9982168090513457E-3</v>
      </c>
      <c r="S41" s="3"/>
      <c r="T41" s="8"/>
      <c r="U41" s="3"/>
      <c r="V41" s="7">
        <f t="shared" si="5"/>
        <v>0</v>
      </c>
      <c r="W41" s="3"/>
      <c r="X41" s="8">
        <f t="shared" si="6"/>
        <v>116.26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","Telephone/Data Lines                              ")</f>
        <v xml:space="preserve">     Telephone/Data Lines                              </v>
      </c>
      <c r="C42" s="14"/>
      <c r="D42" s="2">
        <f>SUM(OSRRefD22_8x_0)</f>
        <v>0</v>
      </c>
      <c r="E42" s="2"/>
      <c r="F42" s="6">
        <f t="shared" si="0"/>
        <v>0</v>
      </c>
      <c r="G42" s="2"/>
      <c r="H42" s="2">
        <f>SUM(OSRRefH22_8x_0)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SUM(OSRRefP22_8x_0)</f>
        <v>0</v>
      </c>
      <c r="Q42" s="2"/>
      <c r="R42" s="6">
        <f t="shared" si="4"/>
        <v>0</v>
      </c>
      <c r="S42" s="2"/>
      <c r="T42" s="2">
        <f>SUM(OSRRefT22_8x_0)</f>
        <v>132.54</v>
      </c>
      <c r="U42" s="2"/>
      <c r="V42" s="6">
        <f t="shared" si="5"/>
        <v>0</v>
      </c>
      <c r="W42" s="2"/>
      <c r="X42" s="2">
        <f t="shared" si="6"/>
        <v>-132.54</v>
      </c>
      <c r="Y42" s="2"/>
      <c r="Z42" s="6">
        <f t="shared" si="7"/>
        <v>-1</v>
      </c>
    </row>
    <row r="43" spans="1:26" s="69" customFormat="1" ht="15" hidden="1" customHeight="1" outlineLevel="2" x14ac:dyDescent="0.3">
      <c r="A43" s="26"/>
      <c r="B43" s="12" t="str">
        <f>CONCATENATE("          ","6309"," - ","TELEPHONE")</f>
        <v xml:space="preserve">          6309 - TELEPHONE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132.54</v>
      </c>
      <c r="U43" s="3"/>
      <c r="V43" s="7">
        <f t="shared" si="5"/>
        <v>0</v>
      </c>
      <c r="W43" s="3"/>
      <c r="X43" s="8">
        <f t="shared" si="6"/>
        <v>-132.54</v>
      </c>
      <c r="Y43" s="3"/>
      <c r="Z43" s="7">
        <f t="shared" si="7"/>
        <v>-1</v>
      </c>
    </row>
    <row r="44" spans="1:26" s="64" customFormat="1" ht="15" customHeight="1" x14ac:dyDescent="0.3">
      <c r="A44" s="36"/>
      <c r="B44" s="36"/>
      <c r="C44" s="36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36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62" customFormat="1" ht="15" customHeight="1" x14ac:dyDescent="0.3">
      <c r="A45" s="11"/>
      <c r="B45" s="27" t="s">
        <v>290</v>
      </c>
      <c r="C45" s="11"/>
      <c r="D45" s="5">
        <f>SUM(0)</f>
        <v>0</v>
      </c>
      <c r="E45" s="5"/>
      <c r="F45" s="13">
        <f>IF(D$12=0,0,D45/D$12)</f>
        <v>0</v>
      </c>
      <c r="G45" s="5"/>
      <c r="H45" s="5">
        <f>SUM(0)</f>
        <v>0</v>
      </c>
      <c r="I45" s="5"/>
      <c r="J45" s="13">
        <f>IF(H$12=0,0,H45/H$12)</f>
        <v>0</v>
      </c>
      <c r="K45" s="5"/>
      <c r="L45" s="5">
        <f>+D45-H45</f>
        <v>0</v>
      </c>
      <c r="M45" s="5"/>
      <c r="N45" s="13">
        <f>IF(H45=0,0,L45/H45)</f>
        <v>0</v>
      </c>
      <c r="O45" s="11"/>
      <c r="P45" s="5">
        <f>SUM(0)</f>
        <v>0</v>
      </c>
      <c r="Q45" s="5"/>
      <c r="R45" s="13">
        <f>IF(P$12=0,0,P45/P$12)</f>
        <v>0</v>
      </c>
      <c r="S45" s="5"/>
      <c r="T45" s="5">
        <f>SUM(0)</f>
        <v>0</v>
      </c>
      <c r="U45" s="5"/>
      <c r="V45" s="13">
        <f>IF(T$12=0,0,T45/T$12)</f>
        <v>0</v>
      </c>
      <c r="W45" s="5"/>
      <c r="X45" s="5">
        <f>+P45-T45</f>
        <v>0</v>
      </c>
      <c r="Y45" s="5"/>
      <c r="Z45" s="13">
        <f>IF(T45=0,0,X45/T45)</f>
        <v>0</v>
      </c>
    </row>
    <row r="46" spans="1:26" ht="15" customHeight="1" x14ac:dyDescent="0.3">
      <c r="A46" s="10"/>
      <c r="B46" s="11"/>
      <c r="C46" s="11"/>
      <c r="D46" s="4"/>
      <c r="E46" s="4"/>
      <c r="F46" s="9"/>
      <c r="G46" s="4"/>
      <c r="H46" s="4"/>
      <c r="I46" s="4"/>
      <c r="J46" s="9"/>
      <c r="K46" s="4"/>
      <c r="L46" s="4"/>
      <c r="M46" s="4"/>
      <c r="N46" s="9"/>
      <c r="O46" s="11"/>
      <c r="P46" s="4"/>
      <c r="Q46" s="4"/>
      <c r="R46" s="9"/>
      <c r="S46" s="4"/>
      <c r="T46" s="4"/>
      <c r="U46" s="4"/>
      <c r="V46" s="9"/>
      <c r="W46" s="4"/>
      <c r="X46" s="4"/>
      <c r="Y46" s="4"/>
      <c r="Z46" s="9"/>
    </row>
    <row r="47" spans="1:26" s="62" customFormat="1" ht="15" customHeight="1" x14ac:dyDescent="0.3">
      <c r="A47" s="11"/>
      <c r="B47" s="28" t="s">
        <v>291</v>
      </c>
      <c r="C47" s="28"/>
      <c r="D47" s="23">
        <f>+D18-D20+D45</f>
        <v>1514.940000000001</v>
      </c>
      <c r="E47" s="15"/>
      <c r="F47" s="22">
        <f>IF(D$12=0,0,D47/D$12)</f>
        <v>0.26377655934685307</v>
      </c>
      <c r="G47" s="15"/>
      <c r="H47" s="23">
        <f>+H18-H20+H45</f>
        <v>-1000.91</v>
      </c>
      <c r="I47" s="15"/>
      <c r="J47" s="22">
        <f>IF(H$12=0,0,H47/H$12)</f>
        <v>0</v>
      </c>
      <c r="K47" s="17"/>
      <c r="L47" s="23">
        <f>+D47-H47</f>
        <v>2515.8500000000008</v>
      </c>
      <c r="M47" s="17"/>
      <c r="N47" s="22">
        <f>IF(H47=0,0,L47/H47)</f>
        <v>-2.5135626579812378</v>
      </c>
      <c r="O47" s="27"/>
      <c r="P47" s="23">
        <f>+P18-P20+P45</f>
        <v>-9221.9700000000012</v>
      </c>
      <c r="Q47" s="15"/>
      <c r="R47" s="22">
        <f>IF(P$12=0,0,P47/P$12)</f>
        <v>-0.63443416021475352</v>
      </c>
      <c r="S47" s="15"/>
      <c r="T47" s="23">
        <f>+T18-T20+T45</f>
        <v>-11635.96</v>
      </c>
      <c r="U47" s="15"/>
      <c r="V47" s="22">
        <f>IF(T$12=0,0,T47/T$12)</f>
        <v>0</v>
      </c>
      <c r="W47" s="17"/>
      <c r="X47" s="23">
        <f>+P47-T47</f>
        <v>2413.989999999998</v>
      </c>
      <c r="Y47" s="17"/>
      <c r="Z47" s="22">
        <f>IF(T47=0,0,X47/T47)</f>
        <v>-0.20745946187508363</v>
      </c>
    </row>
    <row r="48" spans="1:26" ht="15" customHeight="1" x14ac:dyDescent="0.3">
      <c r="A48" s="10"/>
      <c r="B48" s="11"/>
      <c r="C48" s="10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3">
      <c r="A49" s="48"/>
      <c r="B49" s="11" t="s">
        <v>292</v>
      </c>
      <c r="C49" s="11"/>
      <c r="D49" s="5">
        <v>650.54999999999995</v>
      </c>
      <c r="E49" s="5"/>
      <c r="F49" s="13">
        <f>IF(D$12=0,0,D49/D$12)</f>
        <v>0.11327170758122114</v>
      </c>
      <c r="G49" s="5"/>
      <c r="H49" s="5"/>
      <c r="I49" s="5"/>
      <c r="J49" s="13">
        <f>IF(H$12=0,0,H49/H$12)</f>
        <v>0</v>
      </c>
      <c r="K49" s="5"/>
      <c r="L49" s="5">
        <f>+D49-H49</f>
        <v>650.54999999999995</v>
      </c>
      <c r="M49" s="5"/>
      <c r="N49" s="13">
        <f>IF(H49=0,0,L49/H49)</f>
        <v>0</v>
      </c>
      <c r="O49" s="11"/>
      <c r="P49" s="5">
        <v>1814.39</v>
      </c>
      <c r="Q49" s="5"/>
      <c r="R49" s="13">
        <f>IF(P$12=0,0,P49/P$12)</f>
        <v>0.12482267844636738</v>
      </c>
      <c r="S49" s="5"/>
      <c r="T49" s="5"/>
      <c r="U49" s="5"/>
      <c r="V49" s="13">
        <f>IF(T$12=0,0,T49/T$12)</f>
        <v>0</v>
      </c>
      <c r="W49" s="5"/>
      <c r="X49" s="5">
        <f>+P49-T49</f>
        <v>1814.39</v>
      </c>
      <c r="Y49" s="5"/>
      <c r="Z49" s="13">
        <f>IF(T49=0,0,X49/T49)</f>
        <v>0</v>
      </c>
    </row>
    <row r="50" spans="1:26" ht="15" customHeight="1" x14ac:dyDescent="0.3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8" t="s">
        <v>293</v>
      </c>
      <c r="C51" s="28"/>
      <c r="D51" s="33">
        <f>+D47-D49</f>
        <v>864.39000000000101</v>
      </c>
      <c r="E51" s="15"/>
      <c r="F51" s="34">
        <f>IF(D$12=0,0,D51/D$12)</f>
        <v>0.15050485176563194</v>
      </c>
      <c r="G51" s="15"/>
      <c r="H51" s="33">
        <f>+H47-H49</f>
        <v>-1000.91</v>
      </c>
      <c r="I51" s="15"/>
      <c r="J51" s="34">
        <f>IF(H$12=0,0,H51/H$12)</f>
        <v>0</v>
      </c>
      <c r="K51" s="17"/>
      <c r="L51" s="33">
        <f>D51-H51</f>
        <v>1865.3000000000011</v>
      </c>
      <c r="M51" s="17"/>
      <c r="N51" s="34">
        <f>IF(H51=0,0,L51/H51)</f>
        <v>-1.8636041202505731</v>
      </c>
      <c r="O51" s="27"/>
      <c r="P51" s="33">
        <f>+P47-P49</f>
        <v>-11036.36</v>
      </c>
      <c r="Q51" s="15"/>
      <c r="R51" s="34">
        <f>IF(P$12=0,0,P51/P$12)</f>
        <v>-0.75925683866112081</v>
      </c>
      <c r="S51" s="15"/>
      <c r="T51" s="33">
        <f>+T47-T49</f>
        <v>-11635.96</v>
      </c>
      <c r="U51" s="15"/>
      <c r="V51" s="34">
        <f>IF(T$12=0,0,T51/T$12)</f>
        <v>0</v>
      </c>
      <c r="W51" s="17"/>
      <c r="X51" s="33">
        <f>P51-T51</f>
        <v>599.59999999999854</v>
      </c>
      <c r="Y51" s="17"/>
      <c r="Z51" s="34">
        <f>IF(T51=0,0,X51/T51)</f>
        <v>-5.1529912443837776E-2</v>
      </c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8" t="s">
        <v>296</v>
      </c>
      <c r="C54" s="28"/>
      <c r="D54" s="35">
        <f>SUM(D51:D53)</f>
        <v>864.39000000000101</v>
      </c>
      <c r="E54" s="15"/>
      <c r="F54" s="29">
        <f>IF(D$12=0,0,D54/D$12)</f>
        <v>0.15050485176563194</v>
      </c>
      <c r="G54" s="15"/>
      <c r="H54" s="35">
        <f>SUM(H51:H53)</f>
        <v>-1000.91</v>
      </c>
      <c r="I54" s="15"/>
      <c r="J54" s="29">
        <f>IF(H$12=0,0,H54/H$12)</f>
        <v>0</v>
      </c>
      <c r="K54" s="17"/>
      <c r="L54" s="35">
        <f>+D54-H54</f>
        <v>1865.3000000000011</v>
      </c>
      <c r="M54" s="17"/>
      <c r="N54" s="29">
        <f>IF(H54=0,0,L54/H54)</f>
        <v>-1.8636041202505731</v>
      </c>
      <c r="O54" s="27"/>
      <c r="P54" s="35">
        <f>SUM(P51:P53)</f>
        <v>-11036.36</v>
      </c>
      <c r="Q54" s="15"/>
      <c r="R54" s="29">
        <f>IF(P$12=0,0,P54/P$12)</f>
        <v>-0.75925683866112081</v>
      </c>
      <c r="S54" s="15"/>
      <c r="T54" s="35">
        <f>SUM(T51:T53)</f>
        <v>-11635.96</v>
      </c>
      <c r="U54" s="15"/>
      <c r="V54" s="29">
        <f>IF(T$12=0,0,T54/T$12)</f>
        <v>0</v>
      </c>
      <c r="W54" s="17"/>
      <c r="X54" s="35">
        <f>+P54-T54</f>
        <v>599.59999999999854</v>
      </c>
      <c r="Y54" s="17"/>
      <c r="Z54" s="29">
        <f>IF(T54=0,0,X54/T54)</f>
        <v>-5.1529912443837776E-2</v>
      </c>
    </row>
    <row r="55" spans="1:26" ht="15" customHeight="1" x14ac:dyDescent="0.3">
      <c r="A55" s="10"/>
      <c r="C55" s="10"/>
      <c r="D55" s="18"/>
      <c r="E55" s="18"/>
      <c r="G55" s="18"/>
      <c r="H55" s="18"/>
      <c r="I55" s="18"/>
      <c r="J55" s="41"/>
      <c r="K55" s="18"/>
      <c r="L55" s="18"/>
      <c r="M55" s="18"/>
      <c r="P55" s="18"/>
      <c r="Q55" s="18"/>
      <c r="R55" s="41"/>
      <c r="S55" s="18"/>
      <c r="T55" s="18"/>
      <c r="U55" s="18"/>
      <c r="V55" s="41"/>
      <c r="W55" s="18"/>
      <c r="X55" s="18"/>
    </row>
    <row r="56" spans="1:26" ht="15" customHeight="1" x14ac:dyDescent="0.3">
      <c r="A56" s="10"/>
      <c r="B56" s="50">
        <v>44634.887810300927</v>
      </c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3">
      <c r="A57" s="10"/>
      <c r="B57" s="58" t="s">
        <v>297</v>
      </c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3">
      <c r="A58" s="10"/>
      <c r="B58" s="56"/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3"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666A5-10F9-7C86-7738-FF5CF0BFEBCD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","455"," - ","Vending (old)")</f>
        <v>Department 455 - Vending (old)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5"/>
      <c r="L18" s="21">
        <f>+D18-H18</f>
        <v>0</v>
      </c>
      <c r="M18" s="5"/>
      <c r="N18" s="30">
        <f>IF(H18=0,0,L18/H18)</f>
        <v>0</v>
      </c>
      <c r="O18" s="11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5"/>
      <c r="X18" s="21">
        <f>+P18-T18</f>
        <v>0</v>
      </c>
      <c r="Y18" s="5"/>
      <c r="Z18" s="30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collapsed="1" x14ac:dyDescent="0.3">
      <c r="A20" s="11"/>
      <c r="B20" s="27" t="s">
        <v>290</v>
      </c>
      <c r="C20" s="11"/>
      <c r="D20" s="5">
        <f>SUM(OSRRefD25x_0)</f>
        <v>0</v>
      </c>
      <c r="E20" s="5"/>
      <c r="F20" s="13">
        <f>IF(D$12=0,0,D20/D$12)</f>
        <v>0</v>
      </c>
      <c r="G20" s="5"/>
      <c r="H20" s="5">
        <f>SUM(OSRRefH25x_0)</f>
        <v>1400.8799999999999</v>
      </c>
      <c r="I20" s="5"/>
      <c r="J20" s="13">
        <f>IF(H$12=0,0,H20/H$12)</f>
        <v>0</v>
      </c>
      <c r="K20" s="5"/>
      <c r="L20" s="5">
        <f>+D20-H20</f>
        <v>-1400.8799999999999</v>
      </c>
      <c r="M20" s="5"/>
      <c r="N20" s="13">
        <f>IF(H20=0,0,L20/H20)</f>
        <v>-1</v>
      </c>
      <c r="O20" s="11"/>
      <c r="P20" s="5">
        <f>SUM(OSRRefP25x_0)</f>
        <v>0</v>
      </c>
      <c r="Q20" s="5"/>
      <c r="R20" s="13">
        <f>IF(P$12=0,0,P20/P$12)</f>
        <v>0</v>
      </c>
      <c r="S20" s="5"/>
      <c r="T20" s="5">
        <f>SUM(OSRRefT25x_0)</f>
        <v>15204.82</v>
      </c>
      <c r="U20" s="5"/>
      <c r="V20" s="13">
        <f>IF(T$12=0,0,T20/T$12)</f>
        <v>0</v>
      </c>
      <c r="W20" s="5"/>
      <c r="X20" s="5">
        <f>+P20-T20</f>
        <v>-15204.82</v>
      </c>
      <c r="Y20" s="5"/>
      <c r="Z20" s="13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","9160"," - ","MISC. INCOME")</f>
        <v xml:space="preserve">          9160 - MISC. INCOME</v>
      </c>
      <c r="C21" s="12"/>
      <c r="D21" s="3">
        <f>0</f>
        <v>0</v>
      </c>
      <c r="E21" s="3"/>
      <c r="F21" s="20">
        <f>IF(D$12=0,0,D21/D$12)</f>
        <v>0</v>
      </c>
      <c r="G21" s="3"/>
      <c r="H21" s="3">
        <f>--364.79</f>
        <v>364.79</v>
      </c>
      <c r="I21" s="3"/>
      <c r="J21" s="20">
        <f>IF(H$12=0,0,H21/H$12)</f>
        <v>0</v>
      </c>
      <c r="K21" s="3"/>
      <c r="L21" s="3">
        <f>+D21-H21</f>
        <v>-364.79</v>
      </c>
      <c r="M21" s="3"/>
      <c r="N21" s="20">
        <f>IF(H21=0,0,L21/H21)</f>
        <v>-1</v>
      </c>
      <c r="O21" s="12"/>
      <c r="P21" s="3">
        <f>0</f>
        <v>0</v>
      </c>
      <c r="Q21" s="3"/>
      <c r="R21" s="20">
        <f>IF(P$12=0,0,P21/P$12)</f>
        <v>0</v>
      </c>
      <c r="S21" s="3"/>
      <c r="T21" s="3">
        <f>--12066.61</f>
        <v>12066.61</v>
      </c>
      <c r="U21" s="3"/>
      <c r="V21" s="20">
        <f>IF(T$12=0,0,T21/T$12)</f>
        <v>0</v>
      </c>
      <c r="W21" s="3"/>
      <c r="X21" s="3">
        <f>+P21-T21</f>
        <v>-12066.61</v>
      </c>
      <c r="Y21" s="3"/>
      <c r="Z21" s="20">
        <f>IF(T21=0,0,X21/T21)</f>
        <v>-1</v>
      </c>
    </row>
    <row r="22" spans="1:26" s="69" customFormat="1" ht="15" hidden="1" customHeight="1" outlineLevel="1" x14ac:dyDescent="0.3">
      <c r="A22" s="42"/>
      <c r="B22" s="12" t="str">
        <f>CONCATENATE("          ","9165"," - ","OTHER INCOME")</f>
        <v xml:space="preserve">          9165 - OTHER INCOME</v>
      </c>
      <c r="C22" s="12"/>
      <c r="D22" s="3">
        <f>0</f>
        <v>0</v>
      </c>
      <c r="E22" s="3"/>
      <c r="F22" s="20">
        <f>IF(D$12=0,0,D22/D$12)</f>
        <v>0</v>
      </c>
      <c r="G22" s="3"/>
      <c r="H22" s="3">
        <f>--1036.09</f>
        <v>1036.0899999999999</v>
      </c>
      <c r="I22" s="3"/>
      <c r="J22" s="20">
        <f>IF(H$12=0,0,H22/H$12)</f>
        <v>0</v>
      </c>
      <c r="K22" s="3"/>
      <c r="L22" s="3">
        <f>+D22-H22</f>
        <v>-1036.0899999999999</v>
      </c>
      <c r="M22" s="3"/>
      <c r="N22" s="20">
        <f>IF(H22=0,0,L22/H22)</f>
        <v>-1</v>
      </c>
      <c r="O22" s="12"/>
      <c r="P22" s="3">
        <f>0</f>
        <v>0</v>
      </c>
      <c r="Q22" s="3"/>
      <c r="R22" s="20">
        <f>IF(P$12=0,0,P22/P$12)</f>
        <v>0</v>
      </c>
      <c r="S22" s="3"/>
      <c r="T22" s="3">
        <f>--3138.21</f>
        <v>3138.21</v>
      </c>
      <c r="U22" s="3"/>
      <c r="V22" s="20">
        <f>IF(T$12=0,0,T22/T$12)</f>
        <v>0</v>
      </c>
      <c r="W22" s="3"/>
      <c r="X22" s="3">
        <f>+P22-T22</f>
        <v>-3138.21</v>
      </c>
      <c r="Y22" s="3"/>
      <c r="Z22" s="20">
        <f>IF(T22=0,0,X22/T22)</f>
        <v>-1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11"/>
      <c r="B24" s="28" t="s">
        <v>291</v>
      </c>
      <c r="C24" s="28"/>
      <c r="D24" s="23">
        <f>+D16-D18+D20</f>
        <v>0</v>
      </c>
      <c r="E24" s="15"/>
      <c r="F24" s="22">
        <f>IF(D$12=0,0,D24/D$12)</f>
        <v>0</v>
      </c>
      <c r="G24" s="15"/>
      <c r="H24" s="23">
        <f>+H16-H18+H20</f>
        <v>1400.8799999999999</v>
      </c>
      <c r="I24" s="15"/>
      <c r="J24" s="22">
        <f>IF(H$12=0,0,H24/H$12)</f>
        <v>0</v>
      </c>
      <c r="K24" s="17"/>
      <c r="L24" s="23">
        <f>+D24-H24</f>
        <v>-1400.8799999999999</v>
      </c>
      <c r="M24" s="17"/>
      <c r="N24" s="22">
        <f>IF(H24=0,0,L24/H24)</f>
        <v>-1</v>
      </c>
      <c r="O24" s="27"/>
      <c r="P24" s="23">
        <f>+P16-P18+P20</f>
        <v>0</v>
      </c>
      <c r="Q24" s="15"/>
      <c r="R24" s="22">
        <f>IF(P$12=0,0,P24/P$12)</f>
        <v>0</v>
      </c>
      <c r="S24" s="15"/>
      <c r="T24" s="23">
        <f>+T16-T18+T20</f>
        <v>15204.82</v>
      </c>
      <c r="U24" s="15"/>
      <c r="V24" s="22">
        <f>IF(T$12=0,0,T24/T$12)</f>
        <v>0</v>
      </c>
      <c r="W24" s="17"/>
      <c r="X24" s="23">
        <f>+P24-T24</f>
        <v>-15204.82</v>
      </c>
      <c r="Y24" s="17"/>
      <c r="Z24" s="22">
        <f>IF(T24=0,0,X24/T24)</f>
        <v>-1</v>
      </c>
    </row>
    <row r="25" spans="1:26" ht="15" customHeight="1" x14ac:dyDescent="0.3">
      <c r="A25" s="10"/>
      <c r="B25" s="11"/>
      <c r="C25" s="10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48"/>
      <c r="B26" s="11" t="s">
        <v>292</v>
      </c>
      <c r="C26" s="11"/>
      <c r="D26" s="5"/>
      <c r="E26" s="5"/>
      <c r="F26" s="13">
        <f>IF(D$12=0,0,D26/D$12)</f>
        <v>0</v>
      </c>
      <c r="G26" s="5"/>
      <c r="H26" s="5"/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/>
      <c r="Q26" s="5"/>
      <c r="R26" s="13">
        <f>IF(P$12=0,0,P26/P$12)</f>
        <v>0</v>
      </c>
      <c r="S26" s="5"/>
      <c r="T26" s="5"/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11"/>
      <c r="B28" s="28" t="s">
        <v>293</v>
      </c>
      <c r="C28" s="28"/>
      <c r="D28" s="33">
        <f>+D24-D26</f>
        <v>0</v>
      </c>
      <c r="E28" s="15"/>
      <c r="F28" s="34">
        <f>IF(D$12=0,0,D28/D$12)</f>
        <v>0</v>
      </c>
      <c r="G28" s="15"/>
      <c r="H28" s="33">
        <f>+H24-H26</f>
        <v>1400.8799999999999</v>
      </c>
      <c r="I28" s="15"/>
      <c r="J28" s="34">
        <f>IF(H$12=0,0,H28/H$12)</f>
        <v>0</v>
      </c>
      <c r="K28" s="17"/>
      <c r="L28" s="33">
        <f>D28-H28</f>
        <v>-1400.8799999999999</v>
      </c>
      <c r="M28" s="17"/>
      <c r="N28" s="34">
        <f>IF(H28=0,0,L28/H28)</f>
        <v>-1</v>
      </c>
      <c r="O28" s="27"/>
      <c r="P28" s="33">
        <f>+P24-P26</f>
        <v>0</v>
      </c>
      <c r="Q28" s="15"/>
      <c r="R28" s="34">
        <f>IF(P$12=0,0,P28/P$12)</f>
        <v>0</v>
      </c>
      <c r="S28" s="15"/>
      <c r="T28" s="33">
        <f>+T24-T26</f>
        <v>15204.82</v>
      </c>
      <c r="U28" s="15"/>
      <c r="V28" s="34">
        <f>IF(T$12=0,0,T28/T$12)</f>
        <v>0</v>
      </c>
      <c r="W28" s="17"/>
      <c r="X28" s="33">
        <f>P28-T28</f>
        <v>-15204.82</v>
      </c>
      <c r="Y28" s="17"/>
      <c r="Z28" s="34">
        <f>IF(T28=0,0,X28/T28)</f>
        <v>-1</v>
      </c>
    </row>
    <row r="29" spans="1:26" ht="15" customHeight="1" x14ac:dyDescent="0.3">
      <c r="A29" s="10"/>
      <c r="B29" s="10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35">
        <f>SUM(D28:D30)</f>
        <v>0</v>
      </c>
      <c r="E31" s="15"/>
      <c r="F31" s="29">
        <f>IF(D$12=0,0,D31/D$12)</f>
        <v>0</v>
      </c>
      <c r="G31" s="15"/>
      <c r="H31" s="35">
        <f>SUM(H28:H30)</f>
        <v>1400.8799999999999</v>
      </c>
      <c r="I31" s="15"/>
      <c r="J31" s="29">
        <f>IF(H$12=0,0,H31/H$12)</f>
        <v>0</v>
      </c>
      <c r="K31" s="17"/>
      <c r="L31" s="35">
        <f>+D31-H31</f>
        <v>-1400.8799999999999</v>
      </c>
      <c r="M31" s="17"/>
      <c r="N31" s="29">
        <f>IF(H31=0,0,L31/H31)</f>
        <v>-1</v>
      </c>
      <c r="O31" s="27"/>
      <c r="P31" s="35">
        <f>SUM(P28:P30)</f>
        <v>0</v>
      </c>
      <c r="Q31" s="15"/>
      <c r="R31" s="29">
        <f>IF(P$12=0,0,P31/P$12)</f>
        <v>0</v>
      </c>
      <c r="S31" s="15"/>
      <c r="T31" s="35">
        <f>SUM(T28:T30)</f>
        <v>15204.82</v>
      </c>
      <c r="U31" s="15"/>
      <c r="V31" s="29">
        <f>IF(T$12=0,0,T31/T$12)</f>
        <v>0</v>
      </c>
      <c r="W31" s="17"/>
      <c r="X31" s="35">
        <f>+P31-T31</f>
        <v>-15204.82</v>
      </c>
      <c r="Y31" s="17"/>
      <c r="Z31" s="29">
        <f>IF(T31=0,0,X31/T31)</f>
        <v>-1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1"/>
      <c r="K32" s="18"/>
      <c r="L32" s="18"/>
      <c r="M32" s="18"/>
      <c r="P32" s="18"/>
      <c r="Q32" s="18"/>
      <c r="R32" s="41"/>
      <c r="S32" s="18"/>
      <c r="T32" s="18"/>
      <c r="U32" s="18"/>
      <c r="V32" s="41"/>
      <c r="W32" s="18"/>
      <c r="X32" s="18"/>
    </row>
    <row r="33" spans="1:24" ht="15" customHeight="1" x14ac:dyDescent="0.3">
      <c r="A33" s="10"/>
      <c r="B33" s="50">
        <v>44634.887810300927</v>
      </c>
      <c r="D33" s="18"/>
      <c r="E33" s="18"/>
      <c r="G33" s="18"/>
      <c r="H33" s="18"/>
      <c r="I33" s="18"/>
      <c r="J33" s="41"/>
      <c r="K33" s="18"/>
      <c r="L33" s="18"/>
      <c r="M33" s="18"/>
      <c r="P33" s="18"/>
      <c r="Q33" s="18"/>
      <c r="R33" s="41"/>
      <c r="S33" s="18"/>
      <c r="T33" s="18"/>
      <c r="U33" s="18"/>
      <c r="V33" s="41"/>
      <c r="W33" s="18"/>
      <c r="X33" s="18"/>
    </row>
    <row r="34" spans="1:24" ht="15" customHeight="1" x14ac:dyDescent="0.3">
      <c r="A34" s="10"/>
      <c r="B34" s="58" t="s">
        <v>297</v>
      </c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4" ht="15" customHeight="1" x14ac:dyDescent="0.3">
      <c r="A35" s="10"/>
      <c r="B35" s="56"/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822A-8824-22B2-7E31-FFFAE84674B1}">
  <sheetPr>
    <tabColor rgb="FFFFFF0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312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1390818.4</v>
      </c>
      <c r="E12" s="5"/>
      <c r="F12" s="13"/>
      <c r="G12" s="5"/>
      <c r="H12" s="5">
        <f>SUM(OSRRefH13x_0)</f>
        <v>84642.36</v>
      </c>
      <c r="I12" s="5"/>
      <c r="J12" s="13"/>
      <c r="K12" s="5"/>
      <c r="L12" s="5">
        <f>+D12-H12</f>
        <v>1306176.0399999998</v>
      </c>
      <c r="M12" s="5"/>
      <c r="N12" s="13">
        <f>IF(H12=0,0,L12/H12)</f>
        <v>15.431706299304507</v>
      </c>
      <c r="O12" s="11"/>
      <c r="P12" s="5">
        <f>SUM(OSRRefP13x_0)</f>
        <v>7817149.8600000003</v>
      </c>
      <c r="Q12" s="5"/>
      <c r="R12" s="13"/>
      <c r="S12" s="5"/>
      <c r="T12" s="5">
        <f>SUM(OSRRefT13x_0)</f>
        <v>759393.36999999988</v>
      </c>
      <c r="U12" s="5"/>
      <c r="V12" s="13"/>
      <c r="W12" s="5"/>
      <c r="X12" s="5">
        <f>+P12-T12</f>
        <v>7057756.4900000002</v>
      </c>
      <c r="Y12" s="5"/>
      <c r="Z12" s="13">
        <f>IF(T12=0,0,X12/T12)</f>
        <v>9.2939400958952287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--428.28</f>
        <v>428.28</v>
      </c>
      <c r="E13" s="3"/>
      <c r="F13" s="20"/>
      <c r="G13" s="3"/>
      <c r="H13" s="3">
        <f>--180.69</f>
        <v>180.69</v>
      </c>
      <c r="I13" s="3"/>
      <c r="J13" s="20"/>
      <c r="K13" s="3"/>
      <c r="L13" s="3">
        <f>+D13-H13</f>
        <v>247.58999999999997</v>
      </c>
      <c r="M13" s="3"/>
      <c r="N13" s="20">
        <f>IF(H13=0,0,L13/H13)</f>
        <v>1.3702473850240742</v>
      </c>
      <c r="O13" s="12"/>
      <c r="P13" s="3">
        <f>--3112.24</f>
        <v>3112.24</v>
      </c>
      <c r="Q13" s="3"/>
      <c r="R13" s="20"/>
      <c r="S13" s="3"/>
      <c r="T13" s="3">
        <f>--760.21</f>
        <v>760.21</v>
      </c>
      <c r="U13" s="3"/>
      <c r="V13" s="20"/>
      <c r="W13" s="3"/>
      <c r="X13" s="3">
        <f>+P13-T13</f>
        <v>2352.0299999999997</v>
      </c>
      <c r="Y13" s="3"/>
      <c r="Z13" s="20">
        <f>IF(T13=0,0,X13/T13)</f>
        <v>3.0939214164507169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--1371084.16</f>
        <v>1371084.16</v>
      </c>
      <c r="E14" s="3"/>
      <c r="F14" s="20"/>
      <c r="G14" s="3"/>
      <c r="H14" s="3">
        <f>--78596.26</f>
        <v>78596.259999999995</v>
      </c>
      <c r="I14" s="3"/>
      <c r="J14" s="20"/>
      <c r="K14" s="3"/>
      <c r="L14" s="3">
        <f>+D14-H14</f>
        <v>1292487.8999999999</v>
      </c>
      <c r="M14" s="3"/>
      <c r="N14" s="20">
        <f>IF(H14=0,0,L14/H14)</f>
        <v>16.44464889296259</v>
      </c>
      <c r="O14" s="12"/>
      <c r="P14" s="3">
        <f>--7733250.34</f>
        <v>7733250.3399999999</v>
      </c>
      <c r="Q14" s="3"/>
      <c r="R14" s="20"/>
      <c r="S14" s="3"/>
      <c r="T14" s="3">
        <f>--720798.59</f>
        <v>720798.59</v>
      </c>
      <c r="U14" s="3"/>
      <c r="V14" s="20"/>
      <c r="W14" s="3"/>
      <c r="X14" s="3">
        <f>+P14-T14</f>
        <v>7012451.75</v>
      </c>
      <c r="Y14" s="3"/>
      <c r="Z14" s="20">
        <f>IF(T14=0,0,X14/T14)</f>
        <v>9.7287256763362979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--19305.96</f>
        <v>19305.96</v>
      </c>
      <c r="E15" s="3"/>
      <c r="F15" s="20"/>
      <c r="G15" s="3"/>
      <c r="H15" s="3">
        <f>--5865.41</f>
        <v>5865.41</v>
      </c>
      <c r="I15" s="3"/>
      <c r="J15" s="20"/>
      <c r="K15" s="3"/>
      <c r="L15" s="3">
        <f>+D15-H15</f>
        <v>13440.55</v>
      </c>
      <c r="M15" s="3"/>
      <c r="N15" s="20">
        <f>IF(H15=0,0,L15/H15)</f>
        <v>2.2914936892732136</v>
      </c>
      <c r="O15" s="12"/>
      <c r="P15" s="3">
        <f>--80787.28</f>
        <v>80787.28</v>
      </c>
      <c r="Q15" s="3"/>
      <c r="R15" s="20"/>
      <c r="S15" s="3"/>
      <c r="T15" s="3">
        <f>--37834.57</f>
        <v>37834.57</v>
      </c>
      <c r="U15" s="3"/>
      <c r="V15" s="20"/>
      <c r="W15" s="3"/>
      <c r="X15" s="3">
        <f>+P15-T15</f>
        <v>42952.71</v>
      </c>
      <c r="Y15" s="3"/>
      <c r="Z15" s="20">
        <f>IF(T15=0,0,X15/T15)</f>
        <v>1.135276811656641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308484.09000000003</v>
      </c>
      <c r="E17" s="5"/>
      <c r="F17" s="13">
        <f>IF(D$12=0,0,D17/D$12)</f>
        <v>0.22180040902536236</v>
      </c>
      <c r="G17" s="5"/>
      <c r="H17" s="5">
        <f>SUM(OSRRefH16x_0)</f>
        <v>42241.95</v>
      </c>
      <c r="I17" s="5"/>
      <c r="J17" s="13">
        <f>IF(H$12=0,0,H17/H$12)</f>
        <v>0.49906394386923991</v>
      </c>
      <c r="K17" s="5"/>
      <c r="L17" s="5">
        <f>+D17-H17</f>
        <v>266242.14</v>
      </c>
      <c r="M17" s="5"/>
      <c r="N17" s="13">
        <f>IF(H17=0,0,L17/H17)</f>
        <v>6.3027899990412379</v>
      </c>
      <c r="O17" s="11"/>
      <c r="P17" s="5">
        <f>SUM(OSRRefP16x_0)</f>
        <v>1911293.38</v>
      </c>
      <c r="Q17" s="5"/>
      <c r="R17" s="13">
        <f>IF(P$12=0,0,P17/P$12)</f>
        <v>0.24450003060322548</v>
      </c>
      <c r="S17" s="5"/>
      <c r="T17" s="5">
        <f>SUM(OSRRefT16x_0)</f>
        <v>325089.33</v>
      </c>
      <c r="U17" s="5"/>
      <c r="V17" s="13">
        <f>IF(T$12=0,0,T17/T$12)</f>
        <v>0.42809081938653226</v>
      </c>
      <c r="W17" s="5"/>
      <c r="X17" s="5">
        <f>+P17-T17</f>
        <v>1586204.0499999998</v>
      </c>
      <c r="Y17" s="5"/>
      <c r="Z17" s="13">
        <f>IF(T17=0,0,X17/T17)</f>
        <v>4.8792867178999684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322359.09000000003</v>
      </c>
      <c r="E18" s="3"/>
      <c r="F18" s="20">
        <f>IF(D$12=0,0,D18/D$12)</f>
        <v>0.23177654969189368</v>
      </c>
      <c r="G18" s="3"/>
      <c r="H18" s="3">
        <v>49319.95</v>
      </c>
      <c r="I18" s="3"/>
      <c r="J18" s="20">
        <f>IF(H$12=0,0,H18/H$12)</f>
        <v>0.58268637594698447</v>
      </c>
      <c r="K18" s="3"/>
      <c r="L18" s="3">
        <f>+D18-H18</f>
        <v>273039.14</v>
      </c>
      <c r="M18" s="3"/>
      <c r="N18" s="20">
        <f>IF(H18=0,0,L18/H18)</f>
        <v>5.5360790106234905</v>
      </c>
      <c r="O18" s="12"/>
      <c r="P18" s="3">
        <v>1965027.44</v>
      </c>
      <c r="Q18" s="3"/>
      <c r="R18" s="20">
        <f>IF(P$12=0,0,P18/P$12)</f>
        <v>0.25137389907988789</v>
      </c>
      <c r="S18" s="3"/>
      <c r="T18" s="3">
        <v>334999.03000000003</v>
      </c>
      <c r="U18" s="3"/>
      <c r="V18" s="20">
        <f>IF(T$12=0,0,T18/T$12)</f>
        <v>0.44114031440648488</v>
      </c>
      <c r="W18" s="3"/>
      <c r="X18" s="3">
        <f>+P18-T18</f>
        <v>1630028.41</v>
      </c>
      <c r="Y18" s="3"/>
      <c r="Z18" s="20">
        <f>IF(T18=0,0,X18/T18)</f>
        <v>4.8657705367087178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-13875</v>
      </c>
      <c r="E19" s="3"/>
      <c r="F19" s="20">
        <f>IF(D$12=0,0,D19/D$12)</f>
        <v>-9.9761406665313038E-3</v>
      </c>
      <c r="G19" s="3"/>
      <c r="H19" s="3">
        <v>-7078</v>
      </c>
      <c r="I19" s="3"/>
      <c r="J19" s="20">
        <f>IF(H$12=0,0,H19/H$12)</f>
        <v>-8.362243207774453E-2</v>
      </c>
      <c r="K19" s="3"/>
      <c r="L19" s="3">
        <f>+D19-H19</f>
        <v>-6797</v>
      </c>
      <c r="M19" s="3"/>
      <c r="N19" s="20">
        <f>IF(H19=0,0,L19/H19)</f>
        <v>0.96029951963831595</v>
      </c>
      <c r="O19" s="12"/>
      <c r="P19" s="3">
        <v>-53734.06</v>
      </c>
      <c r="Q19" s="3"/>
      <c r="R19" s="20">
        <f>IF(P$12=0,0,P19/P$12)</f>
        <v>-6.8738684766624127E-3</v>
      </c>
      <c r="S19" s="3"/>
      <c r="T19" s="3">
        <v>-9909.7000000000007</v>
      </c>
      <c r="U19" s="3"/>
      <c r="V19" s="20">
        <f>IF(T$12=0,0,T19/T$12)</f>
        <v>-1.3049495019952574E-2</v>
      </c>
      <c r="W19" s="3"/>
      <c r="X19" s="3">
        <f>+P19-T19</f>
        <v>-43824.36</v>
      </c>
      <c r="Y19" s="3"/>
      <c r="Z19" s="20">
        <f>IF(T19=0,0,X19/T19)</f>
        <v>4.4223700011100231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3">
        <f>D12-D17</f>
        <v>1082334.3099999998</v>
      </c>
      <c r="E21" s="15"/>
      <c r="F21" s="22">
        <f>IF(D$12=0,0,D21/D$12)</f>
        <v>0.77819959097463764</v>
      </c>
      <c r="G21" s="15"/>
      <c r="H21" s="23">
        <f>H12-H17</f>
        <v>42400.41</v>
      </c>
      <c r="I21" s="15"/>
      <c r="J21" s="22">
        <f>IF(H$12=0,0,H21/H$12)</f>
        <v>0.50093605613076009</v>
      </c>
      <c r="K21" s="17"/>
      <c r="L21" s="23">
        <f>+D21-H21</f>
        <v>1039933.8999999998</v>
      </c>
      <c r="M21" s="17"/>
      <c r="N21" s="22">
        <f>IF(H21=0,0,L21/H21)</f>
        <v>24.526505757845261</v>
      </c>
      <c r="O21" s="27"/>
      <c r="P21" s="23">
        <f>P12-P17</f>
        <v>5905856.4800000004</v>
      </c>
      <c r="Q21" s="15"/>
      <c r="R21" s="22">
        <f>IF(P$12=0,0,P21/P$12)</f>
        <v>0.75549996939677455</v>
      </c>
      <c r="S21" s="15"/>
      <c r="T21" s="23">
        <f>T12-T17</f>
        <v>434304.03999999986</v>
      </c>
      <c r="U21" s="15"/>
      <c r="V21" s="22">
        <f>IF(T$12=0,0,T21/T$12)</f>
        <v>0.57190918061346774</v>
      </c>
      <c r="W21" s="17"/>
      <c r="X21" s="23">
        <f>+P21-T21</f>
        <v>5471552.4400000004</v>
      </c>
      <c r="Y21" s="17"/>
      <c r="Z21" s="22">
        <f>IF(T21=0,0,X21/T21)</f>
        <v>12.598437813288594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1" cm="1">
        <f t="array" ref="D23">SUM(OSRRefD22x_0)</f>
        <v>533998.94999999995</v>
      </c>
      <c r="E23" s="21"/>
      <c r="F23" s="30">
        <f t="shared" ref="F23:F54" si="0">IF(D$12=0,0,D23/D$12)</f>
        <v>0.38394584799855969</v>
      </c>
      <c r="G23" s="21"/>
      <c r="H23" s="21" cm="1">
        <f t="array" ref="H23">SUM(OSRRefH22x_0)</f>
        <v>212057.02</v>
      </c>
      <c r="I23" s="21"/>
      <c r="J23" s="30">
        <f t="shared" ref="J23:J54" si="1">IF(H$12=0,0,H23/H$12)</f>
        <v>2.5053297190673796</v>
      </c>
      <c r="K23" s="5"/>
      <c r="L23" s="21">
        <f t="shared" ref="L23:L54" si="2">+D23-H23</f>
        <v>321941.92999999993</v>
      </c>
      <c r="M23" s="5"/>
      <c r="N23" s="30">
        <f t="shared" ref="N23:N54" si="3">IF(H23=0,0,L23/H23)</f>
        <v>1.5181856747774725</v>
      </c>
      <c r="O23" s="11"/>
      <c r="P23" s="21" cm="1">
        <f t="array" ref="P23">SUM(OSRRefP22x_0)</f>
        <v>3587967.7199999988</v>
      </c>
      <c r="Q23" s="21"/>
      <c r="R23" s="30">
        <f t="shared" ref="R23:R54" si="4">IF(P$12=0,0,P23/P$12)</f>
        <v>0.45898668750863614</v>
      </c>
      <c r="S23" s="21"/>
      <c r="T23" s="21" cm="1">
        <f t="array" ref="T23">SUM(OSRRefT22x_0)</f>
        <v>1797503.08</v>
      </c>
      <c r="U23" s="21"/>
      <c r="V23" s="30">
        <f t="shared" ref="V23:V54" si="5">IF(T$12=0,0,T23/T$12)</f>
        <v>2.3670249846927165</v>
      </c>
      <c r="W23" s="5"/>
      <c r="X23" s="21">
        <f t="shared" ref="X23:X54" si="6">+P23-T23</f>
        <v>1790464.6399999987</v>
      </c>
      <c r="Y23" s="5"/>
      <c r="Z23" s="30">
        <f t="shared" ref="Z23:Z54" si="7">IF(T23=0,0,X23/T23)</f>
        <v>0.9960843238165682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86590.239999999991</v>
      </c>
      <c r="E24" s="2"/>
      <c r="F24" s="6">
        <f t="shared" si="0"/>
        <v>6.2258480330717507E-2</v>
      </c>
      <c r="G24" s="2"/>
      <c r="H24" s="2">
        <f>SUM(OSRRefH22_0x_0)</f>
        <v>75508.849999999991</v>
      </c>
      <c r="I24" s="2"/>
      <c r="J24" s="6">
        <f t="shared" si="1"/>
        <v>0.89209291895925391</v>
      </c>
      <c r="K24" s="2"/>
      <c r="L24" s="2">
        <f t="shared" si="2"/>
        <v>11081.39</v>
      </c>
      <c r="M24" s="2"/>
      <c r="N24" s="6">
        <f t="shared" si="3"/>
        <v>0.14675617493843437</v>
      </c>
      <c r="O24" s="14"/>
      <c r="P24" s="2">
        <f>SUM(OSRRefP22_0x_0)</f>
        <v>687293.56000000017</v>
      </c>
      <c r="Q24" s="2"/>
      <c r="R24" s="6">
        <f t="shared" si="4"/>
        <v>8.7921246529614333E-2</v>
      </c>
      <c r="S24" s="2"/>
      <c r="T24" s="2">
        <f>SUM(OSRRefT22_0x_0)</f>
        <v>615277.82999999996</v>
      </c>
      <c r="U24" s="2"/>
      <c r="V24" s="6">
        <f t="shared" si="5"/>
        <v>0.81022280981989614</v>
      </c>
      <c r="W24" s="2"/>
      <c r="X24" s="2">
        <f t="shared" si="6"/>
        <v>72015.730000000214</v>
      </c>
      <c r="Y24" s="2"/>
      <c r="Z24" s="6">
        <f t="shared" si="7"/>
        <v>0.11704587178120852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12469.87</v>
      </c>
      <c r="E25" s="3"/>
      <c r="F25" s="7">
        <f t="shared" si="0"/>
        <v>8.9658506099717997E-3</v>
      </c>
      <c r="G25" s="3"/>
      <c r="H25" s="8">
        <v>7341.31</v>
      </c>
      <c r="I25" s="3"/>
      <c r="J25" s="7">
        <f t="shared" si="1"/>
        <v>8.6733285792125844E-2</v>
      </c>
      <c r="K25" s="3"/>
      <c r="L25" s="8">
        <f t="shared" si="2"/>
        <v>5128.5600000000004</v>
      </c>
      <c r="M25" s="3"/>
      <c r="N25" s="7">
        <f t="shared" si="3"/>
        <v>0.69858921636601645</v>
      </c>
      <c r="O25" s="12"/>
      <c r="P25" s="8">
        <v>94169.85</v>
      </c>
      <c r="Q25" s="3"/>
      <c r="R25" s="7">
        <f t="shared" si="4"/>
        <v>1.204657089687673E-2</v>
      </c>
      <c r="S25" s="3"/>
      <c r="T25" s="8">
        <v>63720.99</v>
      </c>
      <c r="U25" s="3"/>
      <c r="V25" s="7">
        <f t="shared" si="5"/>
        <v>8.3910384943181704E-2</v>
      </c>
      <c r="W25" s="3"/>
      <c r="X25" s="8">
        <f t="shared" si="6"/>
        <v>30448.860000000008</v>
      </c>
      <c r="Y25" s="3"/>
      <c r="Z25" s="7">
        <f t="shared" si="7"/>
        <v>0.47784662479349438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9321.7199999999993</v>
      </c>
      <c r="E26" s="3"/>
      <c r="F26" s="7">
        <f t="shared" si="0"/>
        <v>6.7023272053346435E-3</v>
      </c>
      <c r="G26" s="3"/>
      <c r="H26" s="8">
        <v>4706.38</v>
      </c>
      <c r="I26" s="3"/>
      <c r="J26" s="7">
        <f t="shared" si="1"/>
        <v>5.5603128268162653E-2</v>
      </c>
      <c r="K26" s="3"/>
      <c r="L26" s="8">
        <f t="shared" si="2"/>
        <v>4615.3399999999992</v>
      </c>
      <c r="M26" s="3"/>
      <c r="N26" s="7">
        <f t="shared" si="3"/>
        <v>0.98065604562317521</v>
      </c>
      <c r="O26" s="12"/>
      <c r="P26" s="8">
        <v>58726.55</v>
      </c>
      <c r="Q26" s="3"/>
      <c r="R26" s="7">
        <f t="shared" si="4"/>
        <v>7.5125270785073575E-3</v>
      </c>
      <c r="S26" s="3"/>
      <c r="T26" s="8">
        <v>39694.879999999997</v>
      </c>
      <c r="U26" s="3"/>
      <c r="V26" s="7">
        <f t="shared" si="5"/>
        <v>5.2271828499108441E-2</v>
      </c>
      <c r="W26" s="3"/>
      <c r="X26" s="8">
        <f t="shared" si="6"/>
        <v>19031.670000000006</v>
      </c>
      <c r="Y26" s="3"/>
      <c r="Z26" s="7">
        <f t="shared" si="7"/>
        <v>0.47944898687185872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43181.120000000003</v>
      </c>
      <c r="E27" s="3"/>
      <c r="F27" s="7">
        <f t="shared" si="0"/>
        <v>3.104727403663915E-2</v>
      </c>
      <c r="G27" s="3"/>
      <c r="H27" s="8">
        <v>45413.64</v>
      </c>
      <c r="I27" s="3"/>
      <c r="J27" s="7">
        <f t="shared" si="1"/>
        <v>0.53653560699394487</v>
      </c>
      <c r="K27" s="3"/>
      <c r="L27" s="8">
        <f t="shared" si="2"/>
        <v>-2232.5199999999968</v>
      </c>
      <c r="M27" s="3"/>
      <c r="N27" s="7">
        <f t="shared" si="3"/>
        <v>-4.9159679779026674E-2</v>
      </c>
      <c r="O27" s="12"/>
      <c r="P27" s="8">
        <v>344125.94</v>
      </c>
      <c r="Q27" s="3"/>
      <c r="R27" s="7">
        <f t="shared" si="4"/>
        <v>4.4021919262527735E-2</v>
      </c>
      <c r="S27" s="3"/>
      <c r="T27" s="8">
        <v>358419.23</v>
      </c>
      <c r="U27" s="3"/>
      <c r="V27" s="7">
        <f t="shared" si="5"/>
        <v>0.47198098397935717</v>
      </c>
      <c r="W27" s="3"/>
      <c r="X27" s="8">
        <f t="shared" si="6"/>
        <v>-14293.289999999979</v>
      </c>
      <c r="Y27" s="3"/>
      <c r="Z27" s="7">
        <f t="shared" si="7"/>
        <v>-3.9878691776666059E-2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673.26</v>
      </c>
      <c r="E28" s="3"/>
      <c r="F28" s="7">
        <f t="shared" si="0"/>
        <v>4.8407470019090919E-4</v>
      </c>
      <c r="G28" s="3"/>
      <c r="H28" s="8">
        <v>288.32</v>
      </c>
      <c r="I28" s="3"/>
      <c r="J28" s="7">
        <f t="shared" si="1"/>
        <v>3.4063322430990819E-3</v>
      </c>
      <c r="K28" s="3"/>
      <c r="L28" s="8">
        <f t="shared" si="2"/>
        <v>384.94</v>
      </c>
      <c r="M28" s="3"/>
      <c r="N28" s="7">
        <f t="shared" si="3"/>
        <v>1.3351137624861265</v>
      </c>
      <c r="O28" s="12"/>
      <c r="P28" s="8">
        <v>4241.38</v>
      </c>
      <c r="Q28" s="3"/>
      <c r="R28" s="7">
        <f t="shared" si="4"/>
        <v>5.4257370985081764E-4</v>
      </c>
      <c r="S28" s="3"/>
      <c r="T28" s="8">
        <v>2489.6</v>
      </c>
      <c r="U28" s="3"/>
      <c r="V28" s="7">
        <f t="shared" si="5"/>
        <v>3.2784062889566713E-3</v>
      </c>
      <c r="W28" s="3"/>
      <c r="X28" s="8">
        <f t="shared" si="6"/>
        <v>1751.7800000000002</v>
      </c>
      <c r="Y28" s="3"/>
      <c r="Z28" s="7">
        <f t="shared" si="7"/>
        <v>0.70363913881748086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3917.83</v>
      </c>
      <c r="E29" s="3"/>
      <c r="F29" s="7">
        <f t="shared" si="0"/>
        <v>2.8169241936977537E-3</v>
      </c>
      <c r="G29" s="3"/>
      <c r="H29" s="8">
        <v>3594.3</v>
      </c>
      <c r="I29" s="3"/>
      <c r="J29" s="7">
        <f t="shared" si="1"/>
        <v>4.2464553209527717E-2</v>
      </c>
      <c r="K29" s="3"/>
      <c r="L29" s="8">
        <f t="shared" si="2"/>
        <v>323.52999999999975</v>
      </c>
      <c r="M29" s="3"/>
      <c r="N29" s="7">
        <f t="shared" si="3"/>
        <v>9.0011963386472951E-2</v>
      </c>
      <c r="O29" s="12"/>
      <c r="P29" s="8">
        <v>33423.33</v>
      </c>
      <c r="Q29" s="3"/>
      <c r="R29" s="7">
        <f t="shared" si="4"/>
        <v>4.2756414548255827E-3</v>
      </c>
      <c r="S29" s="3"/>
      <c r="T29" s="8">
        <v>32550.080000000002</v>
      </c>
      <c r="U29" s="3"/>
      <c r="V29" s="7">
        <f t="shared" si="5"/>
        <v>4.2863265977684278E-2</v>
      </c>
      <c r="W29" s="3"/>
      <c r="X29" s="8">
        <f t="shared" si="6"/>
        <v>873.25</v>
      </c>
      <c r="Y29" s="3"/>
      <c r="Z29" s="7">
        <f t="shared" si="7"/>
        <v>2.6827891052802328E-2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1870.09</v>
      </c>
      <c r="E30" s="3"/>
      <c r="F30" s="7">
        <f t="shared" si="0"/>
        <v>1.3445968215548487E-3</v>
      </c>
      <c r="G30" s="3"/>
      <c r="H30" s="8">
        <v>1429.17</v>
      </c>
      <c r="I30" s="3"/>
      <c r="J30" s="7">
        <f t="shared" si="1"/>
        <v>1.6884808032290217E-2</v>
      </c>
      <c r="K30" s="3"/>
      <c r="L30" s="8">
        <f t="shared" si="2"/>
        <v>440.91999999999985</v>
      </c>
      <c r="M30" s="3"/>
      <c r="N30" s="7">
        <f t="shared" si="3"/>
        <v>0.30851473232715482</v>
      </c>
      <c r="O30" s="12"/>
      <c r="P30" s="8">
        <v>13855.5</v>
      </c>
      <c r="Q30" s="3"/>
      <c r="R30" s="7">
        <f t="shared" si="4"/>
        <v>1.7724490700757782E-3</v>
      </c>
      <c r="S30" s="3"/>
      <c r="T30" s="8">
        <v>11902.4</v>
      </c>
      <c r="U30" s="3"/>
      <c r="V30" s="7">
        <f t="shared" si="5"/>
        <v>1.5673563228501719E-2</v>
      </c>
      <c r="W30" s="3"/>
      <c r="X30" s="8">
        <f t="shared" si="6"/>
        <v>1953.1000000000004</v>
      </c>
      <c r="Y30" s="3"/>
      <c r="Z30" s="7">
        <f t="shared" si="7"/>
        <v>0.16409295604247887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6837.23</v>
      </c>
      <c r="E31" s="3"/>
      <c r="F31" s="7">
        <f t="shared" si="0"/>
        <v>4.9159760900488519E-3</v>
      </c>
      <c r="G31" s="3"/>
      <c r="H31" s="8">
        <v>5840.82</v>
      </c>
      <c r="I31" s="3"/>
      <c r="J31" s="7">
        <f t="shared" si="1"/>
        <v>6.9005873654751582E-2</v>
      </c>
      <c r="K31" s="3"/>
      <c r="L31" s="8">
        <f t="shared" si="2"/>
        <v>996.40999999999985</v>
      </c>
      <c r="M31" s="3"/>
      <c r="N31" s="7">
        <f t="shared" si="3"/>
        <v>0.17059419739009246</v>
      </c>
      <c r="O31" s="12"/>
      <c r="P31" s="8">
        <v>63757.55</v>
      </c>
      <c r="Q31" s="3"/>
      <c r="R31" s="7">
        <f t="shared" si="4"/>
        <v>8.1561120282782965E-3</v>
      </c>
      <c r="S31" s="3"/>
      <c r="T31" s="8">
        <v>52454.61</v>
      </c>
      <c r="U31" s="3"/>
      <c r="V31" s="7">
        <f t="shared" si="5"/>
        <v>6.9074358655514742E-2</v>
      </c>
      <c r="W31" s="3"/>
      <c r="X31" s="8">
        <f t="shared" si="6"/>
        <v>11302.940000000002</v>
      </c>
      <c r="Y31" s="3"/>
      <c r="Z31" s="7">
        <f t="shared" si="7"/>
        <v>0.2154803934296719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5136.6899999999996</v>
      </c>
      <c r="E32" s="3"/>
      <c r="F32" s="7">
        <f t="shared" si="0"/>
        <v>3.6932859099361929E-3</v>
      </c>
      <c r="G32" s="3"/>
      <c r="H32" s="8">
        <v>4148.87</v>
      </c>
      <c r="I32" s="3"/>
      <c r="J32" s="7">
        <f t="shared" si="1"/>
        <v>4.9016473548232825E-2</v>
      </c>
      <c r="K32" s="3"/>
      <c r="L32" s="8">
        <f t="shared" si="2"/>
        <v>987.81999999999971</v>
      </c>
      <c r="M32" s="3"/>
      <c r="N32" s="7">
        <f t="shared" si="3"/>
        <v>0.23809374600794908</v>
      </c>
      <c r="O32" s="12"/>
      <c r="P32" s="8">
        <v>49181.91</v>
      </c>
      <c r="Q32" s="3"/>
      <c r="R32" s="7">
        <f t="shared" si="4"/>
        <v>6.291539868214833E-3</v>
      </c>
      <c r="S32" s="3"/>
      <c r="T32" s="8">
        <v>35024.699999999997</v>
      </c>
      <c r="U32" s="3"/>
      <c r="V32" s="7">
        <f t="shared" si="5"/>
        <v>4.6121945994866929E-2</v>
      </c>
      <c r="W32" s="3"/>
      <c r="X32" s="8">
        <f t="shared" si="6"/>
        <v>14157.210000000006</v>
      </c>
      <c r="Y32" s="3"/>
      <c r="Z32" s="7">
        <f t="shared" si="7"/>
        <v>0.40420646001250565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3182.43</v>
      </c>
      <c r="E33" s="3"/>
      <c r="F33" s="7">
        <f t="shared" si="0"/>
        <v>2.2881707633433668E-3</v>
      </c>
      <c r="G33" s="3"/>
      <c r="H33" s="8">
        <v>2746.04</v>
      </c>
      <c r="I33" s="3"/>
      <c r="J33" s="7">
        <f t="shared" si="1"/>
        <v>3.2442857217119182E-2</v>
      </c>
      <c r="K33" s="3"/>
      <c r="L33" s="8">
        <f t="shared" si="2"/>
        <v>436.38999999999987</v>
      </c>
      <c r="M33" s="3"/>
      <c r="N33" s="7">
        <f t="shared" si="3"/>
        <v>0.15891611192844965</v>
      </c>
      <c r="O33" s="12"/>
      <c r="P33" s="8">
        <v>25811.55</v>
      </c>
      <c r="Q33" s="3"/>
      <c r="R33" s="7">
        <f t="shared" si="4"/>
        <v>3.3019131604571793E-3</v>
      </c>
      <c r="S33" s="3"/>
      <c r="T33" s="8">
        <v>19021.34</v>
      </c>
      <c r="U33" s="3"/>
      <c r="V33" s="7">
        <f t="shared" si="5"/>
        <v>2.5048072252724572E-2</v>
      </c>
      <c r="W33" s="3"/>
      <c r="X33" s="8">
        <f t="shared" si="6"/>
        <v>6790.2099999999991</v>
      </c>
      <c r="Y33" s="3"/>
      <c r="Z33" s="7">
        <f t="shared" si="7"/>
        <v>0.356978530429507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272080.91000000003</v>
      </c>
      <c r="E34" s="2"/>
      <c r="F34" s="6">
        <f t="shared" si="0"/>
        <v>0.1956264815018266</v>
      </c>
      <c r="G34" s="2"/>
      <c r="H34" s="2">
        <f>SUM(OSRRefH22_1x_0)</f>
        <v>97261.73</v>
      </c>
      <c r="I34" s="2"/>
      <c r="J34" s="6">
        <f t="shared" si="1"/>
        <v>1.1490904790461891</v>
      </c>
      <c r="K34" s="2"/>
      <c r="L34" s="2">
        <f t="shared" si="2"/>
        <v>174819.18000000005</v>
      </c>
      <c r="M34" s="2"/>
      <c r="N34" s="6">
        <f t="shared" si="3"/>
        <v>1.7974097314534716</v>
      </c>
      <c r="O34" s="14"/>
      <c r="P34" s="2">
        <f>SUM(OSRRefP22_1x_0)</f>
        <v>1783544.7</v>
      </c>
      <c r="Q34" s="2"/>
      <c r="R34" s="6">
        <f t="shared" si="4"/>
        <v>0.22815792609098068</v>
      </c>
      <c r="S34" s="2"/>
      <c r="T34" s="2">
        <f>SUM(OSRRefT22_1x_0)</f>
        <v>845317.25</v>
      </c>
      <c r="U34" s="2"/>
      <c r="V34" s="6">
        <f t="shared" si="5"/>
        <v>1.1131480513189103</v>
      </c>
      <c r="W34" s="2"/>
      <c r="X34" s="2">
        <f t="shared" si="6"/>
        <v>938227.45</v>
      </c>
      <c r="Y34" s="2"/>
      <c r="Z34" s="6">
        <f t="shared" si="7"/>
        <v>1.1099116337682686</v>
      </c>
    </row>
    <row r="35" spans="1:26" s="69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8">
        <v>9317.92</v>
      </c>
      <c r="E35" s="3"/>
      <c r="F35" s="7">
        <f t="shared" si="0"/>
        <v>6.6995950010439904E-3</v>
      </c>
      <c r="G35" s="3"/>
      <c r="H35" s="8">
        <v>9034.5400000000009</v>
      </c>
      <c r="I35" s="3"/>
      <c r="J35" s="7">
        <f t="shared" si="1"/>
        <v>0.10673780835033429</v>
      </c>
      <c r="K35" s="3"/>
      <c r="L35" s="8">
        <f t="shared" si="2"/>
        <v>283.3799999999992</v>
      </c>
      <c r="M35" s="3"/>
      <c r="N35" s="7">
        <f t="shared" si="3"/>
        <v>3.1366289816636951E-2</v>
      </c>
      <c r="O35" s="12"/>
      <c r="P35" s="8">
        <v>74847.45</v>
      </c>
      <c r="Q35" s="3"/>
      <c r="R35" s="7">
        <f t="shared" si="4"/>
        <v>9.5747748655799717E-3</v>
      </c>
      <c r="S35" s="3"/>
      <c r="T35" s="8">
        <v>73170.36</v>
      </c>
      <c r="U35" s="3"/>
      <c r="V35" s="7">
        <f t="shared" si="5"/>
        <v>9.6353698742458097E-2</v>
      </c>
      <c r="W35" s="3"/>
      <c r="X35" s="8">
        <f t="shared" si="6"/>
        <v>1677.0899999999965</v>
      </c>
      <c r="Y35" s="3"/>
      <c r="Z35" s="7">
        <f t="shared" si="7"/>
        <v>2.2920346435359843E-2</v>
      </c>
    </row>
    <row r="36" spans="1:26" s="69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8">
        <v>34166.15</v>
      </c>
      <c r="E36" s="3"/>
      <c r="F36" s="7">
        <f t="shared" si="0"/>
        <v>2.4565500427661875E-2</v>
      </c>
      <c r="G36" s="3"/>
      <c r="H36" s="8">
        <v>28604.240000000002</v>
      </c>
      <c r="I36" s="3"/>
      <c r="J36" s="7">
        <f t="shared" si="1"/>
        <v>0.33794237306237684</v>
      </c>
      <c r="K36" s="3"/>
      <c r="L36" s="8">
        <f t="shared" si="2"/>
        <v>5561.91</v>
      </c>
      <c r="M36" s="3"/>
      <c r="N36" s="7">
        <f t="shared" si="3"/>
        <v>0.19444355102600172</v>
      </c>
      <c r="O36" s="12"/>
      <c r="P36" s="8">
        <v>297745.53999999998</v>
      </c>
      <c r="Q36" s="3"/>
      <c r="R36" s="7">
        <f t="shared" si="4"/>
        <v>3.8088759372971771E-2</v>
      </c>
      <c r="S36" s="3"/>
      <c r="T36" s="8">
        <v>231016.68</v>
      </c>
      <c r="U36" s="3"/>
      <c r="V36" s="7">
        <f t="shared" si="5"/>
        <v>0.30421213711676209</v>
      </c>
      <c r="W36" s="3"/>
      <c r="X36" s="8">
        <f t="shared" si="6"/>
        <v>66728.859999999986</v>
      </c>
      <c r="Y36" s="3"/>
      <c r="Z36" s="7">
        <f t="shared" si="7"/>
        <v>0.28884866668502029</v>
      </c>
    </row>
    <row r="37" spans="1:26" s="69" customFormat="1" ht="15" hidden="1" customHeight="1" outlineLevel="2" x14ac:dyDescent="0.3">
      <c r="A37" s="26"/>
      <c r="B37" s="12" t="str">
        <f>CONCATENATE("          ","6004"," - ","STAFF HOURLY")</f>
        <v xml:space="preserve">          6004 - STAFF HOURLY</v>
      </c>
      <c r="C37" s="12"/>
      <c r="D37" s="8">
        <v>98582.66</v>
      </c>
      <c r="E37" s="3"/>
      <c r="F37" s="7">
        <f t="shared" si="0"/>
        <v>7.0881043851591274E-2</v>
      </c>
      <c r="G37" s="3"/>
      <c r="H37" s="8">
        <v>39161.4</v>
      </c>
      <c r="I37" s="3"/>
      <c r="J37" s="7">
        <f t="shared" si="1"/>
        <v>0.46266904656250135</v>
      </c>
      <c r="K37" s="3"/>
      <c r="L37" s="8">
        <f t="shared" si="2"/>
        <v>59421.26</v>
      </c>
      <c r="M37" s="3"/>
      <c r="N37" s="7">
        <f t="shared" si="3"/>
        <v>1.5173425873436599</v>
      </c>
      <c r="O37" s="12"/>
      <c r="P37" s="8">
        <v>612005.02</v>
      </c>
      <c r="Q37" s="3"/>
      <c r="R37" s="7">
        <f t="shared" si="4"/>
        <v>7.8290045727740468E-2</v>
      </c>
      <c r="S37" s="3"/>
      <c r="T37" s="8">
        <v>352059.09</v>
      </c>
      <c r="U37" s="3"/>
      <c r="V37" s="7">
        <f t="shared" si="5"/>
        <v>0.46360569358144393</v>
      </c>
      <c r="W37" s="3"/>
      <c r="X37" s="8">
        <f t="shared" si="6"/>
        <v>259945.93</v>
      </c>
      <c r="Y37" s="3"/>
      <c r="Z37" s="7">
        <f t="shared" si="7"/>
        <v>0.73835880789216368</v>
      </c>
    </row>
    <row r="38" spans="1:26" s="69" customFormat="1" ht="15" hidden="1" customHeight="1" outlineLevel="2" x14ac:dyDescent="0.3">
      <c r="A38" s="26"/>
      <c r="B38" s="12" t="str">
        <f>CONCATENATE("          ","6005"," - ","TEMPORARY WAGES-HOURLY")</f>
        <v xml:space="preserve">          6005 - TEMPORARY WAGES-HOURLY</v>
      </c>
      <c r="C38" s="12"/>
      <c r="D38" s="8">
        <v>38938.69</v>
      </c>
      <c r="E38" s="3"/>
      <c r="F38" s="7">
        <f t="shared" si="0"/>
        <v>2.7996962076429249E-2</v>
      </c>
      <c r="G38" s="3"/>
      <c r="H38" s="8">
        <v>9662.36</v>
      </c>
      <c r="I38" s="3"/>
      <c r="J38" s="7">
        <f t="shared" si="1"/>
        <v>0.11415513461581175</v>
      </c>
      <c r="K38" s="3"/>
      <c r="L38" s="8">
        <f t="shared" si="2"/>
        <v>29276.33</v>
      </c>
      <c r="M38" s="3"/>
      <c r="N38" s="7">
        <f t="shared" si="3"/>
        <v>3.0299357506861679</v>
      </c>
      <c r="O38" s="12"/>
      <c r="P38" s="8">
        <v>305654.87</v>
      </c>
      <c r="Q38" s="3"/>
      <c r="R38" s="7">
        <f t="shared" si="4"/>
        <v>3.9100551412481171E-2</v>
      </c>
      <c r="S38" s="3"/>
      <c r="T38" s="8">
        <v>80406.039999999994</v>
      </c>
      <c r="U38" s="3"/>
      <c r="V38" s="7">
        <f t="shared" si="5"/>
        <v>0.10588193573509867</v>
      </c>
      <c r="W38" s="3"/>
      <c r="X38" s="8">
        <f t="shared" si="6"/>
        <v>225248.83000000002</v>
      </c>
      <c r="Y38" s="3"/>
      <c r="Z38" s="7">
        <f t="shared" si="7"/>
        <v>2.8013919103589733</v>
      </c>
    </row>
    <row r="39" spans="1:26" s="69" customFormat="1" ht="15" hidden="1" customHeight="1" outlineLevel="2" x14ac:dyDescent="0.3">
      <c r="A39" s="26"/>
      <c r="B39" s="12" t="str">
        <f>CONCATENATE("          ","6006"," - ","TEMPORARY PART TIME")</f>
        <v xml:space="preserve">          6006 - TEMPORARY PART TIME</v>
      </c>
      <c r="C39" s="12"/>
      <c r="D39" s="8">
        <v>644.6</v>
      </c>
      <c r="E39" s="3"/>
      <c r="F39" s="7">
        <f t="shared" si="0"/>
        <v>4.6346812783034801E-4</v>
      </c>
      <c r="G39" s="3"/>
      <c r="H39" s="8">
        <v>609</v>
      </c>
      <c r="I39" s="3"/>
      <c r="J39" s="7">
        <f t="shared" si="1"/>
        <v>7.1949789679777356E-3</v>
      </c>
      <c r="K39" s="3"/>
      <c r="L39" s="8">
        <f t="shared" si="2"/>
        <v>35.600000000000023</v>
      </c>
      <c r="M39" s="3"/>
      <c r="N39" s="7">
        <f t="shared" si="3"/>
        <v>5.8456486042692976E-2</v>
      </c>
      <c r="O39" s="12"/>
      <c r="P39" s="8">
        <v>644.6</v>
      </c>
      <c r="Q39" s="3"/>
      <c r="R39" s="7">
        <f t="shared" si="4"/>
        <v>8.2459721451470292E-5</v>
      </c>
      <c r="S39" s="3"/>
      <c r="T39" s="8">
        <v>609</v>
      </c>
      <c r="U39" s="3"/>
      <c r="V39" s="7">
        <f t="shared" si="5"/>
        <v>8.0195590856949419E-4</v>
      </c>
      <c r="W39" s="3"/>
      <c r="X39" s="8">
        <f t="shared" si="6"/>
        <v>35.600000000000023</v>
      </c>
      <c r="Y39" s="3"/>
      <c r="Z39" s="7">
        <f t="shared" si="7"/>
        <v>5.8456486042692976E-2</v>
      </c>
    </row>
    <row r="40" spans="1:26" s="69" customFormat="1" ht="15" hidden="1" customHeight="1" outlineLevel="2" x14ac:dyDescent="0.3">
      <c r="A40" s="26"/>
      <c r="B40" s="12" t="str">
        <f>CONCATENATE("          ","6007"," - ","STUDENT HOURLY")</f>
        <v xml:space="preserve">          6007 - STUDENT HOURLY</v>
      </c>
      <c r="C40" s="12"/>
      <c r="D40" s="8">
        <v>40492.980000000003</v>
      </c>
      <c r="E40" s="3"/>
      <c r="F40" s="7">
        <f t="shared" si="0"/>
        <v>2.9114498341408199E-2</v>
      </c>
      <c r="G40" s="3"/>
      <c r="H40" s="8">
        <v>10190.19</v>
      </c>
      <c r="I40" s="3"/>
      <c r="J40" s="7">
        <f t="shared" si="1"/>
        <v>0.12039113748718727</v>
      </c>
      <c r="K40" s="3"/>
      <c r="L40" s="8">
        <f t="shared" si="2"/>
        <v>30302.79</v>
      </c>
      <c r="M40" s="3"/>
      <c r="N40" s="7">
        <f t="shared" si="3"/>
        <v>2.9737217853641589</v>
      </c>
      <c r="O40" s="12"/>
      <c r="P40" s="8">
        <v>358567.97</v>
      </c>
      <c r="Q40" s="3"/>
      <c r="R40" s="7">
        <f t="shared" si="4"/>
        <v>4.5869399515388078E-2</v>
      </c>
      <c r="S40" s="3"/>
      <c r="T40" s="8">
        <v>97425.2</v>
      </c>
      <c r="U40" s="3"/>
      <c r="V40" s="7">
        <f t="shared" si="5"/>
        <v>0.12829345613064808</v>
      </c>
      <c r="W40" s="3"/>
      <c r="X40" s="8">
        <f t="shared" si="6"/>
        <v>261142.76999999996</v>
      </c>
      <c r="Y40" s="3"/>
      <c r="Z40" s="7">
        <f t="shared" si="7"/>
        <v>2.6804437660892662</v>
      </c>
    </row>
    <row r="41" spans="1:26" s="69" customFormat="1" ht="15" hidden="1" customHeight="1" outlineLevel="2" x14ac:dyDescent="0.3">
      <c r="A41" s="26"/>
      <c r="B41" s="12" t="str">
        <f>CONCATENATE("          ","6008"," - ","STUDENT HOURLY-FICA EXEMPT")</f>
        <v xml:space="preserve">          6008 - STUDENT HOURLY-FICA EXEMPT</v>
      </c>
      <c r="C41" s="12"/>
      <c r="D41" s="8">
        <v>49937.91</v>
      </c>
      <c r="E41" s="3"/>
      <c r="F41" s="7">
        <f t="shared" si="0"/>
        <v>3.5905413675861642E-2</v>
      </c>
      <c r="G41" s="3"/>
      <c r="H41" s="8"/>
      <c r="I41" s="3"/>
      <c r="J41" s="7">
        <f t="shared" si="1"/>
        <v>0</v>
      </c>
      <c r="K41" s="3"/>
      <c r="L41" s="8">
        <f t="shared" si="2"/>
        <v>49937.91</v>
      </c>
      <c r="M41" s="3"/>
      <c r="N41" s="7">
        <f t="shared" si="3"/>
        <v>0</v>
      </c>
      <c r="O41" s="12"/>
      <c r="P41" s="8">
        <v>134079.25</v>
      </c>
      <c r="Q41" s="3"/>
      <c r="R41" s="7">
        <f t="shared" si="4"/>
        <v>1.7151935475367745E-2</v>
      </c>
      <c r="S41" s="3"/>
      <c r="T41" s="8">
        <v>10630.88</v>
      </c>
      <c r="U41" s="3"/>
      <c r="V41" s="7">
        <f t="shared" si="5"/>
        <v>1.3999174103929826E-2</v>
      </c>
      <c r="W41" s="3"/>
      <c r="X41" s="8">
        <f t="shared" si="6"/>
        <v>123448.37</v>
      </c>
      <c r="Y41" s="3"/>
      <c r="Z41" s="7">
        <f t="shared" si="7"/>
        <v>11.612243765332691</v>
      </c>
    </row>
    <row r="42" spans="1:26" s="68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SUM(OSRRefP22_2x_0)</f>
        <v>3421.07</v>
      </c>
      <c r="Q42" s="2"/>
      <c r="R42" s="6">
        <f t="shared" si="4"/>
        <v>4.3763648660561819E-4</v>
      </c>
      <c r="S42" s="2"/>
      <c r="T42" s="2">
        <f>SUM(OSRRefT22_2x_0)</f>
        <v>1445.17</v>
      </c>
      <c r="U42" s="2"/>
      <c r="V42" s="6">
        <f t="shared" si="5"/>
        <v>1.9030584899628507E-3</v>
      </c>
      <c r="W42" s="2"/>
      <c r="X42" s="2">
        <f t="shared" si="6"/>
        <v>1975.9</v>
      </c>
      <c r="Y42" s="2"/>
      <c r="Z42" s="6">
        <f t="shared" si="7"/>
        <v>1.3672439920562978</v>
      </c>
    </row>
    <row r="43" spans="1:26" s="69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3421.07</v>
      </c>
      <c r="Q43" s="3"/>
      <c r="R43" s="7">
        <f t="shared" si="4"/>
        <v>4.3763648660561819E-4</v>
      </c>
      <c r="S43" s="3"/>
      <c r="T43" s="8">
        <v>1445.17</v>
      </c>
      <c r="U43" s="3"/>
      <c r="V43" s="7">
        <f t="shared" si="5"/>
        <v>1.9030584899628507E-3</v>
      </c>
      <c r="W43" s="3"/>
      <c r="X43" s="8">
        <f t="shared" si="6"/>
        <v>1975.9</v>
      </c>
      <c r="Y43" s="3"/>
      <c r="Z43" s="7">
        <f t="shared" si="7"/>
        <v>1.3672439920562978</v>
      </c>
    </row>
    <row r="44" spans="1:26" s="68" customFormat="1" ht="15" customHeight="1" outlineLevel="1" collapsed="1" x14ac:dyDescent="0.3">
      <c r="A44" s="25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-9.1</v>
      </c>
      <c r="E44" s="2"/>
      <c r="F44" s="6">
        <f t="shared" si="0"/>
        <v>-6.5429102749862956E-6</v>
      </c>
      <c r="G44" s="2"/>
      <c r="H44" s="2">
        <f>SUM(OSRRefH22_3x_0)</f>
        <v>-16.2</v>
      </c>
      <c r="I44" s="2"/>
      <c r="J44" s="6">
        <f t="shared" si="1"/>
        <v>-1.913935291974373E-4</v>
      </c>
      <c r="K44" s="2"/>
      <c r="L44" s="2">
        <f t="shared" si="2"/>
        <v>7.1</v>
      </c>
      <c r="M44" s="2"/>
      <c r="N44" s="6">
        <f t="shared" si="3"/>
        <v>-0.43827160493827161</v>
      </c>
      <c r="O44" s="14"/>
      <c r="P44" s="2">
        <f>SUM(OSRRefP22_3x_0)</f>
        <v>-15.9</v>
      </c>
      <c r="Q44" s="2"/>
      <c r="R44" s="6">
        <f t="shared" si="4"/>
        <v>-2.0339894059546658E-6</v>
      </c>
      <c r="S44" s="2"/>
      <c r="T44" s="2">
        <f>SUM(OSRRefT22_3x_0)</f>
        <v>53.54</v>
      </c>
      <c r="U44" s="2"/>
      <c r="V44" s="6">
        <f t="shared" si="5"/>
        <v>7.050364424435258E-5</v>
      </c>
      <c r="W44" s="2"/>
      <c r="X44" s="2">
        <f t="shared" si="6"/>
        <v>-69.44</v>
      </c>
      <c r="Y44" s="2"/>
      <c r="Z44" s="6">
        <f t="shared" si="7"/>
        <v>-1.2969742248785954</v>
      </c>
    </row>
    <row r="45" spans="1:26" s="69" customFormat="1" ht="15" hidden="1" customHeight="1" outlineLevel="2" x14ac:dyDescent="0.3">
      <c r="A45" s="26"/>
      <c r="B45" s="12" t="str">
        <f>CONCATENATE("          ","6272"," - ","CASH (OVER/SHORT)")</f>
        <v xml:space="preserve">          6272 - CASH (OVER/SHORT)</v>
      </c>
      <c r="C45" s="12"/>
      <c r="D45" s="8">
        <v>-9.1</v>
      </c>
      <c r="E45" s="3"/>
      <c r="F45" s="7">
        <f t="shared" si="0"/>
        <v>-6.5429102749862956E-6</v>
      </c>
      <c r="G45" s="3"/>
      <c r="H45" s="8">
        <v>-16.2</v>
      </c>
      <c r="I45" s="3"/>
      <c r="J45" s="7">
        <f t="shared" si="1"/>
        <v>-1.913935291974373E-4</v>
      </c>
      <c r="K45" s="3"/>
      <c r="L45" s="8">
        <f t="shared" si="2"/>
        <v>7.1</v>
      </c>
      <c r="M45" s="3"/>
      <c r="N45" s="7">
        <f t="shared" si="3"/>
        <v>-0.43827160493827161</v>
      </c>
      <c r="O45" s="12"/>
      <c r="P45" s="8">
        <v>-15.9</v>
      </c>
      <c r="Q45" s="3"/>
      <c r="R45" s="7">
        <f t="shared" si="4"/>
        <v>-2.0339894059546658E-6</v>
      </c>
      <c r="S45" s="3"/>
      <c r="T45" s="8">
        <v>53.54</v>
      </c>
      <c r="U45" s="3"/>
      <c r="V45" s="7">
        <f t="shared" si="5"/>
        <v>7.050364424435258E-5</v>
      </c>
      <c r="W45" s="3"/>
      <c r="X45" s="8">
        <f t="shared" si="6"/>
        <v>-69.44</v>
      </c>
      <c r="Y45" s="3"/>
      <c r="Z45" s="7">
        <f t="shared" si="7"/>
        <v>-1.2969742248785954</v>
      </c>
    </row>
    <row r="46" spans="1:26" s="68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218.88</v>
      </c>
      <c r="E46" s="2"/>
      <c r="F46" s="6">
        <f t="shared" si="0"/>
        <v>1.573749671416484E-4</v>
      </c>
      <c r="G46" s="2"/>
      <c r="H46" s="2">
        <f>SUM(OSRRefH22_4x_0)</f>
        <v>77.599999999999994</v>
      </c>
      <c r="I46" s="2"/>
      <c r="J46" s="6">
        <f t="shared" si="1"/>
        <v>9.1679863368648981E-4</v>
      </c>
      <c r="K46" s="2"/>
      <c r="L46" s="2">
        <f t="shared" si="2"/>
        <v>141.28</v>
      </c>
      <c r="M46" s="2"/>
      <c r="N46" s="6">
        <f t="shared" si="3"/>
        <v>1.8206185567010311</v>
      </c>
      <c r="O46" s="14"/>
      <c r="P46" s="2">
        <f>SUM(OSRRefP22_4x_0)</f>
        <v>1121.19</v>
      </c>
      <c r="Q46" s="2"/>
      <c r="R46" s="6">
        <f t="shared" si="4"/>
        <v>1.4342695484668628E-4</v>
      </c>
      <c r="S46" s="2"/>
      <c r="T46" s="2">
        <f>SUM(OSRRefT22_4x_0)</f>
        <v>188.92</v>
      </c>
      <c r="U46" s="2"/>
      <c r="V46" s="6">
        <f t="shared" si="5"/>
        <v>2.487775209309505E-4</v>
      </c>
      <c r="W46" s="2"/>
      <c r="X46" s="2">
        <f t="shared" si="6"/>
        <v>932.2700000000001</v>
      </c>
      <c r="Y46" s="2"/>
      <c r="Z46" s="6">
        <f t="shared" si="7"/>
        <v>4.9347342790599207</v>
      </c>
    </row>
    <row r="47" spans="1:26" s="69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8">
        <v>218.88</v>
      </c>
      <c r="E47" s="3"/>
      <c r="F47" s="7">
        <f t="shared" si="0"/>
        <v>1.573749671416484E-4</v>
      </c>
      <c r="G47" s="3"/>
      <c r="H47" s="8">
        <v>77.599999999999994</v>
      </c>
      <c r="I47" s="3"/>
      <c r="J47" s="7">
        <f t="shared" si="1"/>
        <v>9.1679863368648981E-4</v>
      </c>
      <c r="K47" s="3"/>
      <c r="L47" s="8">
        <f t="shared" si="2"/>
        <v>141.28</v>
      </c>
      <c r="M47" s="3"/>
      <c r="N47" s="7">
        <f t="shared" si="3"/>
        <v>1.8206185567010311</v>
      </c>
      <c r="O47" s="12"/>
      <c r="P47" s="8">
        <v>1121.19</v>
      </c>
      <c r="Q47" s="3"/>
      <c r="R47" s="7">
        <f t="shared" si="4"/>
        <v>1.4342695484668628E-4</v>
      </c>
      <c r="S47" s="3"/>
      <c r="T47" s="8">
        <v>188.92</v>
      </c>
      <c r="U47" s="3"/>
      <c r="V47" s="7">
        <f t="shared" si="5"/>
        <v>2.487775209309505E-4</v>
      </c>
      <c r="W47" s="3"/>
      <c r="X47" s="8">
        <f t="shared" si="6"/>
        <v>932.2700000000001</v>
      </c>
      <c r="Y47" s="3"/>
      <c r="Z47" s="7">
        <f t="shared" si="7"/>
        <v>4.9347342790599207</v>
      </c>
    </row>
    <row r="48" spans="1:26" s="68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760.04</v>
      </c>
      <c r="E48" s="2"/>
      <c r="F48" s="6">
        <f t="shared" si="0"/>
        <v>5.4646961817588836E-4</v>
      </c>
      <c r="G48" s="2"/>
      <c r="H48" s="2">
        <f>SUM(OSRRefH22_5x_0)</f>
        <v>758.5</v>
      </c>
      <c r="I48" s="2"/>
      <c r="J48" s="6">
        <f t="shared" si="1"/>
        <v>8.9612340676701353E-3</v>
      </c>
      <c r="K48" s="2"/>
      <c r="L48" s="2">
        <f t="shared" si="2"/>
        <v>1.5399999999999636</v>
      </c>
      <c r="M48" s="2"/>
      <c r="N48" s="6">
        <f t="shared" si="3"/>
        <v>2.0303230059327141E-3</v>
      </c>
      <c r="O48" s="14"/>
      <c r="P48" s="2">
        <f>SUM(OSRRefP22_5x_0)</f>
        <v>6080.32</v>
      </c>
      <c r="Q48" s="2"/>
      <c r="R48" s="6">
        <f t="shared" si="4"/>
        <v>7.7781801665498577E-4</v>
      </c>
      <c r="S48" s="2"/>
      <c r="T48" s="2">
        <f>SUM(OSRRefT22_5x_0)</f>
        <v>5539.56</v>
      </c>
      <c r="U48" s="2"/>
      <c r="V48" s="6">
        <f t="shared" si="5"/>
        <v>7.294717361043067E-3</v>
      </c>
      <c r="W48" s="2"/>
      <c r="X48" s="2">
        <f t="shared" si="6"/>
        <v>540.75999999999931</v>
      </c>
      <c r="Y48" s="2"/>
      <c r="Z48" s="6">
        <f t="shared" si="7"/>
        <v>9.761786134638839E-2</v>
      </c>
    </row>
    <row r="49" spans="1:26" s="69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760.04</v>
      </c>
      <c r="E49" s="3"/>
      <c r="F49" s="7">
        <f t="shared" si="0"/>
        <v>5.4646961817588836E-4</v>
      </c>
      <c r="G49" s="3"/>
      <c r="H49" s="8">
        <v>758.5</v>
      </c>
      <c r="I49" s="3"/>
      <c r="J49" s="7">
        <f t="shared" si="1"/>
        <v>8.9612340676701353E-3</v>
      </c>
      <c r="K49" s="3"/>
      <c r="L49" s="8">
        <f t="shared" si="2"/>
        <v>1.5399999999999636</v>
      </c>
      <c r="M49" s="3"/>
      <c r="N49" s="7">
        <f t="shared" si="3"/>
        <v>2.0303230059327141E-3</v>
      </c>
      <c r="O49" s="12"/>
      <c r="P49" s="8">
        <v>6080.32</v>
      </c>
      <c r="Q49" s="3"/>
      <c r="R49" s="7">
        <f t="shared" si="4"/>
        <v>7.7781801665498577E-4</v>
      </c>
      <c r="S49" s="3"/>
      <c r="T49" s="8">
        <v>5539.56</v>
      </c>
      <c r="U49" s="3"/>
      <c r="V49" s="7">
        <f t="shared" si="5"/>
        <v>7.294717361043067E-3</v>
      </c>
      <c r="W49" s="3"/>
      <c r="X49" s="8">
        <f t="shared" si="6"/>
        <v>540.75999999999931</v>
      </c>
      <c r="Y49" s="3"/>
      <c r="Z49" s="7">
        <f t="shared" si="7"/>
        <v>9.761786134638839E-2</v>
      </c>
    </row>
    <row r="50" spans="1:26" s="68" customFormat="1" ht="15" customHeight="1" outlineLevel="1" collapsed="1" x14ac:dyDescent="0.3">
      <c r="A50" s="25"/>
      <c r="B50" s="14" t="str">
        <f>CONCATENATE("     ","Donations                                         ")</f>
        <v xml:space="preserve">     Donations                                         </v>
      </c>
      <c r="C50" s="14"/>
      <c r="D50" s="2">
        <f>SUM(OSRRefD22_6x_0)</f>
        <v>8683.56</v>
      </c>
      <c r="E50" s="2"/>
      <c r="F50" s="6">
        <f t="shared" si="0"/>
        <v>6.2434894447758243E-3</v>
      </c>
      <c r="G50" s="2"/>
      <c r="H50" s="2">
        <f>SUM(OSRRefH22_6x_0)</f>
        <v>5361.28</v>
      </c>
      <c r="I50" s="2"/>
      <c r="J50" s="6">
        <f t="shared" si="1"/>
        <v>6.3340388902199798E-2</v>
      </c>
      <c r="K50" s="2"/>
      <c r="L50" s="2">
        <f t="shared" si="2"/>
        <v>3322.2799999999997</v>
      </c>
      <c r="M50" s="2"/>
      <c r="N50" s="6">
        <f t="shared" si="3"/>
        <v>0.61968037483586003</v>
      </c>
      <c r="O50" s="14"/>
      <c r="P50" s="2">
        <f>SUM(OSRRefP22_6x_0)</f>
        <v>49310.21</v>
      </c>
      <c r="Q50" s="2"/>
      <c r="R50" s="6">
        <f t="shared" si="4"/>
        <v>6.3079524997106803E-3</v>
      </c>
      <c r="S50" s="2"/>
      <c r="T50" s="2">
        <f>SUM(OSRRefT22_6x_0)</f>
        <v>43642.43</v>
      </c>
      <c r="U50" s="2"/>
      <c r="V50" s="6">
        <f t="shared" si="5"/>
        <v>5.7470122500542779E-2</v>
      </c>
      <c r="W50" s="2"/>
      <c r="X50" s="2">
        <f t="shared" si="6"/>
        <v>5667.7799999999988</v>
      </c>
      <c r="Y50" s="2"/>
      <c r="Z50" s="6">
        <f t="shared" si="7"/>
        <v>0.12986857056309647</v>
      </c>
    </row>
    <row r="51" spans="1:26" s="69" customFormat="1" ht="15" hidden="1" customHeight="1" outlineLevel="2" x14ac:dyDescent="0.3">
      <c r="A51" s="26"/>
      <c r="B51" s="12" t="str">
        <f>CONCATENATE("          ","6399"," - ","DONATION-ON CAMPUS")</f>
        <v xml:space="preserve">          6399 - DONATION-ON CAMPUS</v>
      </c>
      <c r="C51" s="12"/>
      <c r="D51" s="8">
        <v>8683.56</v>
      </c>
      <c r="E51" s="3"/>
      <c r="F51" s="7">
        <f t="shared" si="0"/>
        <v>6.2434894447758243E-3</v>
      </c>
      <c r="G51" s="3"/>
      <c r="H51" s="8">
        <v>5361.28</v>
      </c>
      <c r="I51" s="3"/>
      <c r="J51" s="7">
        <f t="shared" si="1"/>
        <v>6.3340388902199798E-2</v>
      </c>
      <c r="K51" s="3"/>
      <c r="L51" s="8">
        <f t="shared" si="2"/>
        <v>3322.2799999999997</v>
      </c>
      <c r="M51" s="3"/>
      <c r="N51" s="7">
        <f t="shared" si="3"/>
        <v>0.61968037483586003</v>
      </c>
      <c r="O51" s="12"/>
      <c r="P51" s="8">
        <v>49310.21</v>
      </c>
      <c r="Q51" s="3"/>
      <c r="R51" s="7">
        <f t="shared" si="4"/>
        <v>6.3079524997106803E-3</v>
      </c>
      <c r="S51" s="3"/>
      <c r="T51" s="8">
        <v>43642.43</v>
      </c>
      <c r="U51" s="3"/>
      <c r="V51" s="7">
        <f t="shared" si="5"/>
        <v>5.7470122500542779E-2</v>
      </c>
      <c r="W51" s="3"/>
      <c r="X51" s="8">
        <f t="shared" si="6"/>
        <v>5667.7799999999988</v>
      </c>
      <c r="Y51" s="3"/>
      <c r="Z51" s="7">
        <f t="shared" si="7"/>
        <v>0.12986857056309647</v>
      </c>
    </row>
    <row r="52" spans="1:26" s="68" customFormat="1" ht="15" customHeight="1" outlineLevel="1" collapsed="1" x14ac:dyDescent="0.3">
      <c r="A52" s="25"/>
      <c r="B52" s="14" t="str">
        <f>CONCATENATE("     ","Employees' Appreciation                           ")</f>
        <v xml:space="preserve">     Employees' Appreciation                           </v>
      </c>
      <c r="C52" s="14"/>
      <c r="D52" s="2">
        <f>SUM(OSRRefD22_7x_0)</f>
        <v>87.37</v>
      </c>
      <c r="E52" s="2"/>
      <c r="F52" s="6">
        <f t="shared" si="0"/>
        <v>6.2819128651159641E-5</v>
      </c>
      <c r="G52" s="2"/>
      <c r="H52" s="2">
        <f>SUM(OSRRefH22_7x_0)</f>
        <v>0</v>
      </c>
      <c r="I52" s="2"/>
      <c r="J52" s="6">
        <f t="shared" si="1"/>
        <v>0</v>
      </c>
      <c r="K52" s="2"/>
      <c r="L52" s="2">
        <f t="shared" si="2"/>
        <v>87.37</v>
      </c>
      <c r="M52" s="2"/>
      <c r="N52" s="6">
        <f t="shared" si="3"/>
        <v>0</v>
      </c>
      <c r="O52" s="14"/>
      <c r="P52" s="2">
        <f>SUM(OSRRefP22_7x_0)</f>
        <v>325.70999999999998</v>
      </c>
      <c r="Q52" s="2"/>
      <c r="R52" s="6">
        <f t="shared" si="4"/>
        <v>4.1666081095188315E-5</v>
      </c>
      <c r="S52" s="2"/>
      <c r="T52" s="2">
        <f>SUM(OSRRefT22_7x_0)</f>
        <v>0</v>
      </c>
      <c r="U52" s="2"/>
      <c r="V52" s="6">
        <f t="shared" si="5"/>
        <v>0</v>
      </c>
      <c r="W52" s="2"/>
      <c r="X52" s="2">
        <f t="shared" si="6"/>
        <v>325.70999999999998</v>
      </c>
      <c r="Y52" s="2"/>
      <c r="Z52" s="6">
        <f t="shared" si="7"/>
        <v>0</v>
      </c>
    </row>
    <row r="53" spans="1:26" s="69" customFormat="1" ht="15" hidden="1" customHeight="1" outlineLevel="2" x14ac:dyDescent="0.3">
      <c r="A53" s="26"/>
      <c r="B53" s="12" t="str">
        <f>CONCATENATE("          ","6277"," - ","EMPLOYEE APPRECIATION")</f>
        <v xml:space="preserve">          6277 - EMPLOYEE APPRECIATION</v>
      </c>
      <c r="C53" s="12"/>
      <c r="D53" s="8">
        <v>87.37</v>
      </c>
      <c r="E53" s="3"/>
      <c r="F53" s="7">
        <f t="shared" si="0"/>
        <v>6.2819128651159641E-5</v>
      </c>
      <c r="G53" s="3"/>
      <c r="H53" s="8"/>
      <c r="I53" s="3"/>
      <c r="J53" s="7">
        <f t="shared" si="1"/>
        <v>0</v>
      </c>
      <c r="K53" s="3"/>
      <c r="L53" s="8">
        <f t="shared" si="2"/>
        <v>87.37</v>
      </c>
      <c r="M53" s="3"/>
      <c r="N53" s="7">
        <f t="shared" si="3"/>
        <v>0</v>
      </c>
      <c r="O53" s="12"/>
      <c r="P53" s="8">
        <v>325.70999999999998</v>
      </c>
      <c r="Q53" s="3"/>
      <c r="R53" s="7">
        <f t="shared" si="4"/>
        <v>4.1666081095188315E-5</v>
      </c>
      <c r="S53" s="3"/>
      <c r="T53" s="8"/>
      <c r="U53" s="3"/>
      <c r="V53" s="7">
        <f t="shared" si="5"/>
        <v>0</v>
      </c>
      <c r="W53" s="3"/>
      <c r="X53" s="8">
        <f t="shared" si="6"/>
        <v>325.70999999999998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5"/>
      <c r="B54" s="14" t="str">
        <f>CONCATENATE("     ","Equipment Rental                                  ")</f>
        <v xml:space="preserve">     Equipment Rental                                  </v>
      </c>
      <c r="C54" s="14"/>
      <c r="D54" s="2">
        <f>SUM(OSRRefD22_8x_0)</f>
        <v>471.12</v>
      </c>
      <c r="E54" s="2"/>
      <c r="F54" s="6">
        <f t="shared" si="0"/>
        <v>3.3873581195071912E-4</v>
      </c>
      <c r="G54" s="2"/>
      <c r="H54" s="2">
        <f>SUM(OSRRefH22_8x_0)</f>
        <v>556.54</v>
      </c>
      <c r="I54" s="2"/>
      <c r="J54" s="6">
        <f t="shared" si="1"/>
        <v>6.5751947370087504E-3</v>
      </c>
      <c r="K54" s="2"/>
      <c r="L54" s="2">
        <f t="shared" si="2"/>
        <v>-85.419999999999959</v>
      </c>
      <c r="M54" s="2"/>
      <c r="N54" s="6">
        <f t="shared" si="3"/>
        <v>-0.15348402630538679</v>
      </c>
      <c r="O54" s="14"/>
      <c r="P54" s="2">
        <f>SUM(OSRRefP22_8x_0)</f>
        <v>9129.25</v>
      </c>
      <c r="Q54" s="2"/>
      <c r="R54" s="6">
        <f t="shared" si="4"/>
        <v>1.167848917252304E-3</v>
      </c>
      <c r="S54" s="2"/>
      <c r="T54" s="2">
        <f>SUM(OSRRefT22_8x_0)</f>
        <v>3837.56</v>
      </c>
      <c r="U54" s="2"/>
      <c r="V54" s="6">
        <f t="shared" si="5"/>
        <v>5.0534547068800464E-3</v>
      </c>
      <c r="W54" s="2"/>
      <c r="X54" s="2">
        <f t="shared" si="6"/>
        <v>5291.6900000000005</v>
      </c>
      <c r="Y54" s="2"/>
      <c r="Z54" s="6">
        <f t="shared" si="7"/>
        <v>1.378920459875546</v>
      </c>
    </row>
    <row r="55" spans="1:26" s="69" customFormat="1" ht="15" hidden="1" customHeight="1" outlineLevel="2" x14ac:dyDescent="0.3">
      <c r="A55" s="26"/>
      <c r="B55" s="12" t="str">
        <f>CONCATENATE("          ","6351"," - ","EQUIPMENT RENTAL")</f>
        <v xml:space="preserve">          6351 - EQUIPMENT RENTAL</v>
      </c>
      <c r="C55" s="12"/>
      <c r="D55" s="8">
        <v>471.12</v>
      </c>
      <c r="E55" s="3"/>
      <c r="F55" s="7">
        <f t="shared" ref="F55:F88" si="8">IF(D$12=0,0,D55/D$12)</f>
        <v>3.3873581195071912E-4</v>
      </c>
      <c r="G55" s="3"/>
      <c r="H55" s="8">
        <v>556.54</v>
      </c>
      <c r="I55" s="3"/>
      <c r="J55" s="7">
        <f t="shared" ref="J55:J88" si="9">IF(H$12=0,0,H55/H$12)</f>
        <v>6.5751947370087504E-3</v>
      </c>
      <c r="K55" s="3"/>
      <c r="L55" s="8">
        <f t="shared" ref="L55:L88" si="10">+D55-H55</f>
        <v>-85.419999999999959</v>
      </c>
      <c r="M55" s="3"/>
      <c r="N55" s="7">
        <f t="shared" ref="N55:N88" si="11">IF(H55=0,0,L55/H55)</f>
        <v>-0.15348402630538679</v>
      </c>
      <c r="O55" s="12"/>
      <c r="P55" s="8">
        <v>9129.25</v>
      </c>
      <c r="Q55" s="3"/>
      <c r="R55" s="7">
        <f t="shared" ref="R55:R88" si="12">IF(P$12=0,0,P55/P$12)</f>
        <v>1.167848917252304E-3</v>
      </c>
      <c r="S55" s="3"/>
      <c r="T55" s="8">
        <v>3837.56</v>
      </c>
      <c r="U55" s="3"/>
      <c r="V55" s="7">
        <f t="shared" ref="V55:V88" si="13">IF(T$12=0,0,T55/T$12)</f>
        <v>5.0534547068800464E-3</v>
      </c>
      <c r="W55" s="3"/>
      <c r="X55" s="8">
        <f t="shared" ref="X55:X88" si="14">+P55-T55</f>
        <v>5291.6900000000005</v>
      </c>
      <c r="Y55" s="3"/>
      <c r="Z55" s="7">
        <f t="shared" ref="Z55:Z88" si="15">IF(T55=0,0,X55/T55)</f>
        <v>1.378920459875546</v>
      </c>
    </row>
    <row r="56" spans="1:26" s="68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SUM(OSRRefD22_9x_0)</f>
        <v>437.63</v>
      </c>
      <c r="E56" s="2"/>
      <c r="F56" s="6">
        <f t="shared" si="8"/>
        <v>3.1465646413651131E-4</v>
      </c>
      <c r="G56" s="2"/>
      <c r="H56" s="2">
        <f>SUM(OSRRefH22_9x_0)</f>
        <v>0</v>
      </c>
      <c r="I56" s="2"/>
      <c r="J56" s="6">
        <f t="shared" si="9"/>
        <v>0</v>
      </c>
      <c r="K56" s="2"/>
      <c r="L56" s="2">
        <f t="shared" si="10"/>
        <v>437.63</v>
      </c>
      <c r="M56" s="2"/>
      <c r="N56" s="6">
        <f t="shared" si="11"/>
        <v>0</v>
      </c>
      <c r="O56" s="14"/>
      <c r="P56" s="2">
        <f>SUM(OSRRefP22_9x_0)</f>
        <v>12365.84</v>
      </c>
      <c r="Q56" s="2"/>
      <c r="R56" s="6">
        <f t="shared" si="12"/>
        <v>1.5818860097943676E-3</v>
      </c>
      <c r="S56" s="2"/>
      <c r="T56" s="2">
        <f>SUM(OSRRefT22_9x_0)</f>
        <v>7158.43</v>
      </c>
      <c r="U56" s="2"/>
      <c r="V56" s="6">
        <f t="shared" si="13"/>
        <v>9.4265110584254921E-3</v>
      </c>
      <c r="W56" s="2"/>
      <c r="X56" s="2">
        <f t="shared" si="14"/>
        <v>5207.41</v>
      </c>
      <c r="Y56" s="2"/>
      <c r="Z56" s="6">
        <f t="shared" si="15"/>
        <v>0.72745141043496964</v>
      </c>
    </row>
    <row r="57" spans="1:26" s="69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8">
        <v>437.63</v>
      </c>
      <c r="E57" s="3"/>
      <c r="F57" s="7">
        <f t="shared" si="8"/>
        <v>3.1465646413651131E-4</v>
      </c>
      <c r="G57" s="3"/>
      <c r="H57" s="8"/>
      <c r="I57" s="3"/>
      <c r="J57" s="7">
        <f t="shared" si="9"/>
        <v>0</v>
      </c>
      <c r="K57" s="3"/>
      <c r="L57" s="8">
        <f t="shared" si="10"/>
        <v>437.63</v>
      </c>
      <c r="M57" s="3"/>
      <c r="N57" s="7">
        <f t="shared" si="11"/>
        <v>0</v>
      </c>
      <c r="O57" s="12"/>
      <c r="P57" s="8">
        <v>12365.84</v>
      </c>
      <c r="Q57" s="3"/>
      <c r="R57" s="7">
        <f t="shared" si="12"/>
        <v>1.5818860097943676E-3</v>
      </c>
      <c r="S57" s="3"/>
      <c r="T57" s="8">
        <v>7158.43</v>
      </c>
      <c r="U57" s="3"/>
      <c r="V57" s="7">
        <f t="shared" si="13"/>
        <v>9.4265110584254921E-3</v>
      </c>
      <c r="W57" s="3"/>
      <c r="X57" s="8">
        <f t="shared" si="14"/>
        <v>5207.41</v>
      </c>
      <c r="Y57" s="3"/>
      <c r="Z57" s="7">
        <f t="shared" si="15"/>
        <v>0.72745141043496964</v>
      </c>
    </row>
    <row r="58" spans="1:26" s="68" customFormat="1" ht="15" customHeight="1" outlineLevel="1" collapsed="1" x14ac:dyDescent="0.3">
      <c r="A58" s="25"/>
      <c r="B58" s="14" t="str">
        <f>CONCATENATE("     ","Insurance                                         ")</f>
        <v xml:space="preserve">     Insurance                                         </v>
      </c>
      <c r="C58" s="14"/>
      <c r="D58" s="2">
        <f>SUM(OSRRefD22_10x_0)</f>
        <v>5.21</v>
      </c>
      <c r="E58" s="2"/>
      <c r="F58" s="6">
        <f t="shared" si="8"/>
        <v>3.7459958827119345E-6</v>
      </c>
      <c r="G58" s="2"/>
      <c r="H58" s="2">
        <f>SUM(OSRRefH22_10x_0)</f>
        <v>5.9</v>
      </c>
      <c r="I58" s="2"/>
      <c r="J58" s="6">
        <f t="shared" si="9"/>
        <v>6.9705050757091371E-5</v>
      </c>
      <c r="K58" s="2"/>
      <c r="L58" s="2">
        <f t="shared" si="10"/>
        <v>-0.69000000000000039</v>
      </c>
      <c r="M58" s="2"/>
      <c r="N58" s="6">
        <f t="shared" si="11"/>
        <v>-0.11694915254237294</v>
      </c>
      <c r="O58" s="14"/>
      <c r="P58" s="2">
        <f>SUM(OSRRefP22_10x_0)</f>
        <v>41.69</v>
      </c>
      <c r="Q58" s="2"/>
      <c r="R58" s="6">
        <f t="shared" si="12"/>
        <v>5.3331458071855354E-6</v>
      </c>
      <c r="S58" s="2"/>
      <c r="T58" s="2">
        <f>SUM(OSRRefT22_10x_0)</f>
        <v>47.2</v>
      </c>
      <c r="U58" s="2"/>
      <c r="V58" s="6">
        <f t="shared" si="13"/>
        <v>6.2154875015566719E-5</v>
      </c>
      <c r="W58" s="2"/>
      <c r="X58" s="2">
        <f t="shared" si="14"/>
        <v>-5.5100000000000051</v>
      </c>
      <c r="Y58" s="2"/>
      <c r="Z58" s="6">
        <f t="shared" si="15"/>
        <v>-0.11673728813559332</v>
      </c>
    </row>
    <row r="59" spans="1:26" s="69" customFormat="1" ht="15" hidden="1" customHeight="1" outlineLevel="2" x14ac:dyDescent="0.3">
      <c r="A59" s="26"/>
      <c r="B59" s="12" t="str">
        <f>CONCATENATE("          ","6314"," - ","LIABILITY INSURANCE")</f>
        <v xml:space="preserve">          6314 - LIABILITY INSURANCE</v>
      </c>
      <c r="C59" s="12"/>
      <c r="D59" s="8">
        <v>5.21</v>
      </c>
      <c r="E59" s="3"/>
      <c r="F59" s="7">
        <f t="shared" si="8"/>
        <v>3.7459958827119345E-6</v>
      </c>
      <c r="G59" s="3"/>
      <c r="H59" s="8">
        <v>5.9</v>
      </c>
      <c r="I59" s="3"/>
      <c r="J59" s="7">
        <f t="shared" si="9"/>
        <v>6.9705050757091371E-5</v>
      </c>
      <c r="K59" s="3"/>
      <c r="L59" s="8">
        <f t="shared" si="10"/>
        <v>-0.69000000000000039</v>
      </c>
      <c r="M59" s="3"/>
      <c r="N59" s="7">
        <f t="shared" si="11"/>
        <v>-0.11694915254237294</v>
      </c>
      <c r="O59" s="12"/>
      <c r="P59" s="8">
        <v>41.69</v>
      </c>
      <c r="Q59" s="3"/>
      <c r="R59" s="7">
        <f t="shared" si="12"/>
        <v>5.3331458071855354E-6</v>
      </c>
      <c r="S59" s="3"/>
      <c r="T59" s="8">
        <v>47.2</v>
      </c>
      <c r="U59" s="3"/>
      <c r="V59" s="7">
        <f t="shared" si="13"/>
        <v>6.2154875015566719E-5</v>
      </c>
      <c r="W59" s="3"/>
      <c r="X59" s="8">
        <f t="shared" si="14"/>
        <v>-5.5100000000000051</v>
      </c>
      <c r="Y59" s="3"/>
      <c r="Z59" s="7">
        <f t="shared" si="15"/>
        <v>-0.11673728813559332</v>
      </c>
    </row>
    <row r="60" spans="1:26" s="68" customFormat="1" ht="15" customHeight="1" outlineLevel="1" collapsed="1" x14ac:dyDescent="0.3">
      <c r="A60" s="25"/>
      <c r="B60" s="14" t="str">
        <f>CONCATENATE("     ","R/H Commissions                                   ")</f>
        <v xml:space="preserve">     R/H Commissions                                   </v>
      </c>
      <c r="C60" s="14"/>
      <c r="D60" s="2">
        <f>SUM(OSRRefD22_11x_0)</f>
        <v>109401.29</v>
      </c>
      <c r="E60" s="2"/>
      <c r="F60" s="6">
        <f t="shared" si="8"/>
        <v>7.8659651037115988E-2</v>
      </c>
      <c r="G60" s="2"/>
      <c r="H60" s="2">
        <f>SUM(OSRRefH22_11x_0)</f>
        <v>6342.49</v>
      </c>
      <c r="I60" s="2"/>
      <c r="J60" s="6">
        <f t="shared" si="9"/>
        <v>7.4932811419719386E-2</v>
      </c>
      <c r="K60" s="2"/>
      <c r="L60" s="2">
        <f t="shared" si="10"/>
        <v>103058.79999999999</v>
      </c>
      <c r="M60" s="2"/>
      <c r="N60" s="6">
        <f t="shared" si="11"/>
        <v>16.248949545052493</v>
      </c>
      <c r="O60" s="14"/>
      <c r="P60" s="2">
        <f>SUM(OSRRefP22_11x_0)</f>
        <v>609028.68999999994</v>
      </c>
      <c r="Q60" s="2"/>
      <c r="R60" s="6">
        <f t="shared" si="12"/>
        <v>7.7909302099525041E-2</v>
      </c>
      <c r="S60" s="2"/>
      <c r="T60" s="2">
        <f>SUM(OSRRefT22_11x_0)</f>
        <v>52255.85</v>
      </c>
      <c r="U60" s="2"/>
      <c r="V60" s="6">
        <f t="shared" si="13"/>
        <v>6.8812623423351732E-2</v>
      </c>
      <c r="W60" s="2"/>
      <c r="X60" s="2">
        <f t="shared" si="14"/>
        <v>556772.84</v>
      </c>
      <c r="Y60" s="2"/>
      <c r="Z60" s="6">
        <f t="shared" si="15"/>
        <v>10.654746597749343</v>
      </c>
    </row>
    <row r="61" spans="1:26" s="69" customFormat="1" ht="15" hidden="1" customHeight="1" outlineLevel="2" x14ac:dyDescent="0.3">
      <c r="A61" s="26"/>
      <c r="B61" s="12" t="str">
        <f>CONCATENATE("          ","6387"," - ","COMMISSION DUE HOUSING")</f>
        <v xml:space="preserve">          6387 - COMMISSION DUE HOUSING</v>
      </c>
      <c r="C61" s="12"/>
      <c r="D61" s="8">
        <v>109401.29</v>
      </c>
      <c r="E61" s="3"/>
      <c r="F61" s="7">
        <f t="shared" si="8"/>
        <v>7.8659651037115988E-2</v>
      </c>
      <c r="G61" s="3"/>
      <c r="H61" s="8">
        <v>6342.49</v>
      </c>
      <c r="I61" s="3"/>
      <c r="J61" s="7">
        <f t="shared" si="9"/>
        <v>7.4932811419719386E-2</v>
      </c>
      <c r="K61" s="3"/>
      <c r="L61" s="8">
        <f t="shared" si="10"/>
        <v>103058.79999999999</v>
      </c>
      <c r="M61" s="3"/>
      <c r="N61" s="7">
        <f t="shared" si="11"/>
        <v>16.248949545052493</v>
      </c>
      <c r="O61" s="12"/>
      <c r="P61" s="8">
        <v>609028.68999999994</v>
      </c>
      <c r="Q61" s="3"/>
      <c r="R61" s="7">
        <f t="shared" si="12"/>
        <v>7.7909302099525041E-2</v>
      </c>
      <c r="S61" s="3"/>
      <c r="T61" s="8">
        <v>52255.85</v>
      </c>
      <c r="U61" s="3"/>
      <c r="V61" s="7">
        <f t="shared" si="13"/>
        <v>6.8812623423351732E-2</v>
      </c>
      <c r="W61" s="3"/>
      <c r="X61" s="8">
        <f t="shared" si="14"/>
        <v>556772.84</v>
      </c>
      <c r="Y61" s="3"/>
      <c r="Z61" s="7">
        <f t="shared" si="15"/>
        <v>10.654746597749343</v>
      </c>
    </row>
    <row r="62" spans="1:26" s="68" customFormat="1" ht="15" customHeight="1" outlineLevel="1" collapsed="1" x14ac:dyDescent="0.3">
      <c r="A62" s="25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SUM(OSRRefD22_12x_0)</f>
        <v>3809.98</v>
      </c>
      <c r="E62" s="2"/>
      <c r="F62" s="6">
        <f t="shared" si="8"/>
        <v>2.7393799219222296E-3</v>
      </c>
      <c r="G62" s="2"/>
      <c r="H62" s="2">
        <f>SUM(OSRRefH22_12x_0)</f>
        <v>3587.74</v>
      </c>
      <c r="I62" s="2"/>
      <c r="J62" s="6">
        <f t="shared" si="9"/>
        <v>4.2387050644618132E-2</v>
      </c>
      <c r="K62" s="2"/>
      <c r="L62" s="2">
        <f t="shared" si="10"/>
        <v>222.24000000000024</v>
      </c>
      <c r="M62" s="2"/>
      <c r="N62" s="6">
        <f t="shared" si="11"/>
        <v>6.1944288047628936E-2</v>
      </c>
      <c r="O62" s="14"/>
      <c r="P62" s="2">
        <f>SUM(OSRRefP22_12x_0)</f>
        <v>33967.599999999999</v>
      </c>
      <c r="Q62" s="2"/>
      <c r="R62" s="6">
        <f t="shared" si="12"/>
        <v>4.3452665752016168E-3</v>
      </c>
      <c r="S62" s="2"/>
      <c r="T62" s="2">
        <f>SUM(OSRRefT22_12x_0)</f>
        <v>15259.470000000001</v>
      </c>
      <c r="U62" s="2"/>
      <c r="V62" s="6">
        <f t="shared" si="13"/>
        <v>2.0094289208766734E-2</v>
      </c>
      <c r="W62" s="2"/>
      <c r="X62" s="2">
        <f t="shared" si="14"/>
        <v>18708.129999999997</v>
      </c>
      <c r="Y62" s="2"/>
      <c r="Z62" s="6">
        <f t="shared" si="15"/>
        <v>1.2260012962442337</v>
      </c>
    </row>
    <row r="63" spans="1:26" s="69" customFormat="1" ht="15" hidden="1" customHeight="1" outlineLevel="2" x14ac:dyDescent="0.3">
      <c r="A63" s="26"/>
      <c r="B63" s="12" t="str">
        <f>CONCATENATE("          ","6371"," - ","COMPUTER SOFTWARE MAINTENANCE")</f>
        <v xml:space="preserve">          6371 - COMPUTER SOFTWARE MAINTENANCE</v>
      </c>
      <c r="C63" s="12"/>
      <c r="D63" s="8">
        <v>3500</v>
      </c>
      <c r="E63" s="3"/>
      <c r="F63" s="7">
        <f t="shared" si="8"/>
        <v>2.5165039519178061E-3</v>
      </c>
      <c r="G63" s="3"/>
      <c r="H63" s="8">
        <v>3500</v>
      </c>
      <c r="I63" s="3"/>
      <c r="J63" s="7">
        <f t="shared" si="9"/>
        <v>4.1350453838952507E-2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28000</v>
      </c>
      <c r="Q63" s="3"/>
      <c r="R63" s="7">
        <f t="shared" si="12"/>
        <v>3.5818681362723677E-3</v>
      </c>
      <c r="S63" s="3"/>
      <c r="T63" s="8">
        <v>10500</v>
      </c>
      <c r="U63" s="3"/>
      <c r="V63" s="7">
        <f t="shared" si="13"/>
        <v>1.3826826009818867E-2</v>
      </c>
      <c r="W63" s="3"/>
      <c r="X63" s="8">
        <f t="shared" si="14"/>
        <v>17500</v>
      </c>
      <c r="Y63" s="3"/>
      <c r="Z63" s="7">
        <f t="shared" si="15"/>
        <v>1.6666666666666667</v>
      </c>
    </row>
    <row r="64" spans="1:26" s="69" customFormat="1" ht="15" hidden="1" customHeight="1" outlineLevel="2" x14ac:dyDescent="0.3">
      <c r="A64" s="26"/>
      <c r="B64" s="12" t="str">
        <f>CONCATENATE("          ","6373"," - ","MAINTENANCE CONTRACTS")</f>
        <v xml:space="preserve">          6373 - MAINTENANCE CONTRACTS</v>
      </c>
      <c r="C64" s="12"/>
      <c r="D64" s="8">
        <v>10.93</v>
      </c>
      <c r="E64" s="3"/>
      <c r="F64" s="7">
        <f t="shared" si="8"/>
        <v>7.8586823412747487E-6</v>
      </c>
      <c r="G64" s="3"/>
      <c r="H64" s="8">
        <v>9.5399999999999991</v>
      </c>
      <c r="I64" s="3"/>
      <c r="J64" s="7">
        <f t="shared" si="9"/>
        <v>1.1270952274960195E-4</v>
      </c>
      <c r="K64" s="3"/>
      <c r="L64" s="8">
        <f t="shared" si="10"/>
        <v>1.3900000000000006</v>
      </c>
      <c r="M64" s="3"/>
      <c r="N64" s="7">
        <f t="shared" si="11"/>
        <v>0.14570230607966464</v>
      </c>
      <c r="O64" s="12"/>
      <c r="P64" s="8">
        <v>621.66999999999996</v>
      </c>
      <c r="Q64" s="3"/>
      <c r="R64" s="7">
        <f t="shared" si="12"/>
        <v>7.952642729558723E-5</v>
      </c>
      <c r="S64" s="3"/>
      <c r="T64" s="8">
        <v>2985.45</v>
      </c>
      <c r="U64" s="3"/>
      <c r="V64" s="7">
        <f t="shared" si="13"/>
        <v>3.9313616867632127E-3</v>
      </c>
      <c r="W64" s="3"/>
      <c r="X64" s="8">
        <f t="shared" si="14"/>
        <v>-2363.7799999999997</v>
      </c>
      <c r="Y64" s="3"/>
      <c r="Z64" s="7">
        <f t="shared" si="15"/>
        <v>-0.79176673533303188</v>
      </c>
    </row>
    <row r="65" spans="1:26" s="69" customFormat="1" ht="15" hidden="1" customHeight="1" outlineLevel="2" x14ac:dyDescent="0.3">
      <c r="A65" s="26"/>
      <c r="B65" s="12" t="str">
        <f>CONCATENATE("          ","6375"," - ","OUTSIDE REPAIRS &amp; MAINTENANCE")</f>
        <v xml:space="preserve">          6375 - OUTSIDE REPAIRS &amp; MAINTENANCE</v>
      </c>
      <c r="C65" s="12"/>
      <c r="D65" s="8">
        <v>299.05</v>
      </c>
      <c r="E65" s="3"/>
      <c r="F65" s="7">
        <f t="shared" si="8"/>
        <v>2.1501728766314856E-4</v>
      </c>
      <c r="G65" s="3"/>
      <c r="H65" s="8">
        <v>78.2</v>
      </c>
      <c r="I65" s="3"/>
      <c r="J65" s="7">
        <f t="shared" si="9"/>
        <v>9.2388728291602456E-4</v>
      </c>
      <c r="K65" s="3"/>
      <c r="L65" s="8">
        <f t="shared" si="10"/>
        <v>220.85000000000002</v>
      </c>
      <c r="M65" s="3"/>
      <c r="N65" s="7">
        <f t="shared" si="11"/>
        <v>2.8241687979539645</v>
      </c>
      <c r="O65" s="12"/>
      <c r="P65" s="8">
        <v>5345.93</v>
      </c>
      <c r="Q65" s="3"/>
      <c r="R65" s="7">
        <f t="shared" si="12"/>
        <v>6.8387201163366211E-4</v>
      </c>
      <c r="S65" s="3"/>
      <c r="T65" s="8">
        <v>1774.02</v>
      </c>
      <c r="U65" s="3"/>
      <c r="V65" s="7">
        <f t="shared" si="13"/>
        <v>2.3361015121846538E-3</v>
      </c>
      <c r="W65" s="3"/>
      <c r="X65" s="8">
        <f t="shared" si="14"/>
        <v>3571.9100000000003</v>
      </c>
      <c r="Y65" s="3"/>
      <c r="Z65" s="7">
        <f t="shared" si="15"/>
        <v>2.0134553161745643</v>
      </c>
    </row>
    <row r="66" spans="1:26" s="68" customFormat="1" ht="15" customHeight="1" outlineLevel="1" collapsed="1" x14ac:dyDescent="0.3">
      <c r="A66" s="25"/>
      <c r="B66" s="14" t="str">
        <f>CONCATENATE("     ","Services                                          ")</f>
        <v xml:space="preserve">     Services                                          </v>
      </c>
      <c r="C66" s="14"/>
      <c r="D66" s="2">
        <f>SUM(OSRRefD22_13x_0)</f>
        <v>19275.88</v>
      </c>
      <c r="E66" s="2"/>
      <c r="F66" s="6">
        <f t="shared" si="8"/>
        <v>1.3859379484769544E-2</v>
      </c>
      <c r="G66" s="2"/>
      <c r="H66" s="2">
        <f>SUM(OSRRefH22_13x_0)</f>
        <v>10292.240000000002</v>
      </c>
      <c r="I66" s="2"/>
      <c r="J66" s="6">
        <f t="shared" si="9"/>
        <v>0.12159679857697732</v>
      </c>
      <c r="K66" s="2"/>
      <c r="L66" s="2">
        <f t="shared" si="10"/>
        <v>8983.64</v>
      </c>
      <c r="M66" s="2"/>
      <c r="N66" s="6">
        <f t="shared" si="11"/>
        <v>0.87285566601633835</v>
      </c>
      <c r="O66" s="14"/>
      <c r="P66" s="2">
        <f>SUM(OSRRefP22_13x_0)</f>
        <v>134305.41</v>
      </c>
      <c r="Q66" s="2"/>
      <c r="R66" s="6">
        <f t="shared" si="12"/>
        <v>1.7180866735999865E-2</v>
      </c>
      <c r="S66" s="2"/>
      <c r="T66" s="2">
        <f>SUM(OSRRefT22_13x_0)</f>
        <v>89099.18</v>
      </c>
      <c r="U66" s="2"/>
      <c r="V66" s="6">
        <f t="shared" si="13"/>
        <v>0.11732941518833646</v>
      </c>
      <c r="W66" s="2"/>
      <c r="X66" s="2">
        <f t="shared" si="14"/>
        <v>45206.23000000001</v>
      </c>
      <c r="Y66" s="2"/>
      <c r="Z66" s="6">
        <f t="shared" si="15"/>
        <v>0.50736976479469298</v>
      </c>
    </row>
    <row r="67" spans="1:26" s="69" customFormat="1" ht="15" hidden="1" customHeight="1" outlineLevel="2" x14ac:dyDescent="0.3">
      <c r="A67" s="26"/>
      <c r="B67" s="12" t="str">
        <f>CONCATENATE("          ","6282"," - ","JANITORIAL/EXTERMINATOR EXPENS")</f>
        <v xml:space="preserve">          6282 - JANITORIAL/EXTERMINATOR EXPENS</v>
      </c>
      <c r="C67" s="12"/>
      <c r="D67" s="8">
        <v>2373.9</v>
      </c>
      <c r="E67" s="3"/>
      <c r="F67" s="7">
        <f t="shared" si="8"/>
        <v>1.7068367804164801E-3</v>
      </c>
      <c r="G67" s="3"/>
      <c r="H67" s="8">
        <v>421.34</v>
      </c>
      <c r="I67" s="3"/>
      <c r="J67" s="7">
        <f t="shared" si="9"/>
        <v>4.977885777286928E-3</v>
      </c>
      <c r="K67" s="3"/>
      <c r="L67" s="8">
        <f t="shared" si="10"/>
        <v>1952.5600000000002</v>
      </c>
      <c r="M67" s="3"/>
      <c r="N67" s="7">
        <f t="shared" si="11"/>
        <v>4.6341671808990368</v>
      </c>
      <c r="O67" s="12"/>
      <c r="P67" s="8">
        <v>13139.92</v>
      </c>
      <c r="Q67" s="3"/>
      <c r="R67" s="7">
        <f t="shared" si="12"/>
        <v>1.6809093128988574E-3</v>
      </c>
      <c r="S67" s="3"/>
      <c r="T67" s="8">
        <v>9916.65</v>
      </c>
      <c r="U67" s="3"/>
      <c r="V67" s="7">
        <f t="shared" si="13"/>
        <v>1.30586470619305E-2</v>
      </c>
      <c r="W67" s="3"/>
      <c r="X67" s="8">
        <f t="shared" si="14"/>
        <v>3223.2700000000004</v>
      </c>
      <c r="Y67" s="3"/>
      <c r="Z67" s="7">
        <f t="shared" si="15"/>
        <v>0.32503617653138916</v>
      </c>
    </row>
    <row r="68" spans="1:26" s="69" customFormat="1" ht="15" hidden="1" customHeight="1" outlineLevel="2" x14ac:dyDescent="0.3">
      <c r="A68" s="26"/>
      <c r="B68" s="12" t="str">
        <f>CONCATENATE("          ","6284"," - ","TRASH REMOVAL EXPENSE")</f>
        <v xml:space="preserve">          6284 - TRASH REMOVAL EXPENSE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282.75</v>
      </c>
      <c r="U68" s="3"/>
      <c r="V68" s="7">
        <f t="shared" si="13"/>
        <v>3.723366718358366E-4</v>
      </c>
      <c r="W68" s="3"/>
      <c r="X68" s="8">
        <f t="shared" si="14"/>
        <v>-282.75</v>
      </c>
      <c r="Y68" s="3"/>
      <c r="Z68" s="7">
        <f t="shared" si="15"/>
        <v>-1</v>
      </c>
    </row>
    <row r="69" spans="1:26" s="69" customFormat="1" ht="15" hidden="1" customHeight="1" outlineLevel="2" x14ac:dyDescent="0.3">
      <c r="A69" s="26"/>
      <c r="B69" s="12" t="str">
        <f>CONCATENATE("          ","6285"," - ","JANITORIAL SERVICES")</f>
        <v xml:space="preserve">          6285 - JANITORIAL SERVICES</v>
      </c>
      <c r="C69" s="12"/>
      <c r="D69" s="8">
        <v>14084.39</v>
      </c>
      <c r="E69" s="3"/>
      <c r="F69" s="7">
        <f t="shared" si="8"/>
        <v>1.0126692312957609E-2</v>
      </c>
      <c r="G69" s="3"/>
      <c r="H69" s="8">
        <v>8897.19</v>
      </c>
      <c r="I69" s="3"/>
      <c r="J69" s="7">
        <f t="shared" si="9"/>
        <v>0.10511509839753996</v>
      </c>
      <c r="K69" s="3"/>
      <c r="L69" s="8">
        <f t="shared" si="10"/>
        <v>5187.1999999999989</v>
      </c>
      <c r="M69" s="3"/>
      <c r="N69" s="7">
        <f t="shared" si="11"/>
        <v>0.58301553636597603</v>
      </c>
      <c r="O69" s="12"/>
      <c r="P69" s="8">
        <v>100862.26</v>
      </c>
      <c r="Q69" s="3"/>
      <c r="R69" s="7">
        <f t="shared" si="12"/>
        <v>1.2902689830229248E-2</v>
      </c>
      <c r="S69" s="3"/>
      <c r="T69" s="8">
        <v>67096.36</v>
      </c>
      <c r="U69" s="3"/>
      <c r="V69" s="7">
        <f t="shared" si="13"/>
        <v>8.835520910592097E-2</v>
      </c>
      <c r="W69" s="3"/>
      <c r="X69" s="8">
        <f t="shared" si="14"/>
        <v>33765.899999999994</v>
      </c>
      <c r="Y69" s="3"/>
      <c r="Z69" s="7">
        <f t="shared" si="15"/>
        <v>0.50324488541554258</v>
      </c>
    </row>
    <row r="70" spans="1:26" s="69" customFormat="1" ht="15" hidden="1" customHeight="1" outlineLevel="2" x14ac:dyDescent="0.3">
      <c r="A70" s="26"/>
      <c r="B70" s="12" t="str">
        <f>CONCATENATE("          ","6286"," - ","LAUNDRY EXPENSE")</f>
        <v xml:space="preserve">          6286 - LAUNDRY EXPENSE</v>
      </c>
      <c r="C70" s="12"/>
      <c r="D70" s="8">
        <v>2817.59</v>
      </c>
      <c r="E70" s="3"/>
      <c r="F70" s="7">
        <f t="shared" si="8"/>
        <v>2.0258503913954547E-3</v>
      </c>
      <c r="G70" s="3"/>
      <c r="H70" s="8">
        <v>973.71</v>
      </c>
      <c r="I70" s="3"/>
      <c r="J70" s="7">
        <f t="shared" si="9"/>
        <v>1.1503814402150413E-2</v>
      </c>
      <c r="K70" s="3"/>
      <c r="L70" s="8">
        <f t="shared" si="10"/>
        <v>1843.88</v>
      </c>
      <c r="M70" s="3"/>
      <c r="N70" s="7">
        <f t="shared" si="11"/>
        <v>1.8936644380770455</v>
      </c>
      <c r="O70" s="12"/>
      <c r="P70" s="8">
        <v>20303.23</v>
      </c>
      <c r="Q70" s="3"/>
      <c r="R70" s="7">
        <f t="shared" si="12"/>
        <v>2.5972675928717577E-3</v>
      </c>
      <c r="S70" s="3"/>
      <c r="T70" s="8">
        <v>11803.42</v>
      </c>
      <c r="U70" s="3"/>
      <c r="V70" s="7">
        <f t="shared" si="13"/>
        <v>1.5543222348649162E-2</v>
      </c>
      <c r="W70" s="3"/>
      <c r="X70" s="8">
        <f t="shared" si="14"/>
        <v>8499.81</v>
      </c>
      <c r="Y70" s="3"/>
      <c r="Z70" s="7">
        <f t="shared" si="15"/>
        <v>0.72011417029979441</v>
      </c>
    </row>
    <row r="71" spans="1:26" s="68" customFormat="1" ht="15" customHeight="1" outlineLevel="1" collapsed="1" x14ac:dyDescent="0.3">
      <c r="A71" s="25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2">
        <f>SUM(OSRRefD22_14x_0)</f>
        <v>0</v>
      </c>
      <c r="E71" s="2"/>
      <c r="F71" s="6">
        <f t="shared" si="8"/>
        <v>0</v>
      </c>
      <c r="G71" s="2"/>
      <c r="H71" s="2">
        <f>SUM(OSRRefH22_14x_0)</f>
        <v>0</v>
      </c>
      <c r="I71" s="2"/>
      <c r="J71" s="6">
        <f t="shared" si="9"/>
        <v>0</v>
      </c>
      <c r="K71" s="2"/>
      <c r="L71" s="2">
        <f t="shared" si="10"/>
        <v>0</v>
      </c>
      <c r="M71" s="2"/>
      <c r="N71" s="6">
        <f t="shared" si="11"/>
        <v>0</v>
      </c>
      <c r="O71" s="14"/>
      <c r="P71" s="2">
        <f>SUM(OSRRefP22_14x_0)</f>
        <v>0</v>
      </c>
      <c r="Q71" s="2"/>
      <c r="R71" s="6">
        <f t="shared" si="12"/>
        <v>0</v>
      </c>
      <c r="S71" s="2"/>
      <c r="T71" s="2">
        <f>SUM(OSRRefT22_14x_0)</f>
        <v>795</v>
      </c>
      <c r="U71" s="2"/>
      <c r="V71" s="6">
        <f t="shared" si="13"/>
        <v>1.0468882550291427E-3</v>
      </c>
      <c r="W71" s="2"/>
      <c r="X71" s="2">
        <f t="shared" si="14"/>
        <v>-795</v>
      </c>
      <c r="Y71" s="2"/>
      <c r="Z71" s="6">
        <f t="shared" si="15"/>
        <v>-1</v>
      </c>
    </row>
    <row r="72" spans="1:26" s="69" customFormat="1" ht="15" hidden="1" customHeight="1" outlineLevel="2" x14ac:dyDescent="0.3">
      <c r="A72" s="26"/>
      <c r="B72" s="12" t="str">
        <f>CONCATENATE("          ","6258"," - ","MEMBERSHIP DUES")</f>
        <v xml:space="preserve">          6258 - MEMBERSHIP DUES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/>
      <c r="Q72" s="3"/>
      <c r="R72" s="7">
        <f t="shared" si="12"/>
        <v>0</v>
      </c>
      <c r="S72" s="3"/>
      <c r="T72" s="8">
        <v>795</v>
      </c>
      <c r="U72" s="3"/>
      <c r="V72" s="7">
        <f t="shared" si="13"/>
        <v>1.0468882550291427E-3</v>
      </c>
      <c r="W72" s="3"/>
      <c r="X72" s="8">
        <f t="shared" si="14"/>
        <v>-795</v>
      </c>
      <c r="Y72" s="3"/>
      <c r="Z72" s="7">
        <f t="shared" si="15"/>
        <v>-1</v>
      </c>
    </row>
    <row r="73" spans="1:26" s="68" customFormat="1" ht="15" customHeight="1" outlineLevel="1" collapsed="1" x14ac:dyDescent="0.3">
      <c r="A73" s="25"/>
      <c r="B73" s="14" t="str">
        <f>CONCATENATE("     ","Supplies                                          ")</f>
        <v xml:space="preserve">     Supplies                                          </v>
      </c>
      <c r="C73" s="14"/>
      <c r="D73" s="2">
        <f>SUM(OSRRefD22_15x_0)</f>
        <v>27451.940000000002</v>
      </c>
      <c r="E73" s="2"/>
      <c r="F73" s="6">
        <f t="shared" si="8"/>
        <v>1.9737975856517289E-2</v>
      </c>
      <c r="G73" s="2"/>
      <c r="H73" s="2">
        <f>SUM(OSRRefH22_15x_0)</f>
        <v>12072.349999999999</v>
      </c>
      <c r="I73" s="2"/>
      <c r="J73" s="6">
        <f t="shared" si="9"/>
        <v>0.14262775754362234</v>
      </c>
      <c r="K73" s="2"/>
      <c r="L73" s="2">
        <f t="shared" si="10"/>
        <v>15379.590000000004</v>
      </c>
      <c r="M73" s="2"/>
      <c r="N73" s="6">
        <f t="shared" si="11"/>
        <v>1.273951633277697</v>
      </c>
      <c r="O73" s="14"/>
      <c r="P73" s="2">
        <f>SUM(OSRRefP22_15x_0)</f>
        <v>246201.64</v>
      </c>
      <c r="Q73" s="2"/>
      <c r="R73" s="6">
        <f t="shared" si="12"/>
        <v>3.1495064621928588E-2</v>
      </c>
      <c r="S73" s="2"/>
      <c r="T73" s="2">
        <f>SUM(OSRRefT22_15x_0)</f>
        <v>112571.37000000001</v>
      </c>
      <c r="U73" s="2"/>
      <c r="V73" s="6">
        <f t="shared" si="13"/>
        <v>0.14823854730256603</v>
      </c>
      <c r="W73" s="2"/>
      <c r="X73" s="2">
        <f t="shared" si="14"/>
        <v>133630.27000000002</v>
      </c>
      <c r="Y73" s="2"/>
      <c r="Z73" s="6">
        <f t="shared" si="15"/>
        <v>1.1870715440346866</v>
      </c>
    </row>
    <row r="74" spans="1:26" s="69" customFormat="1" ht="15" hidden="1" customHeight="1" outlineLevel="2" x14ac:dyDescent="0.3">
      <c r="A74" s="26"/>
      <c r="B74" s="12" t="str">
        <f>CONCATENATE("          ","6234"," - ","EXPENDABLE SUPPLIES &amp; EQUIPMEN")</f>
        <v xml:space="preserve">          6234 - EXPENDABLE SUPPLIES &amp; EQUIPMEN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336.98</v>
      </c>
      <c r="Q74" s="3"/>
      <c r="R74" s="7">
        <f t="shared" si="12"/>
        <v>4.3107783020037948E-5</v>
      </c>
      <c r="S74" s="3"/>
      <c r="T74" s="8"/>
      <c r="U74" s="3"/>
      <c r="V74" s="7">
        <f t="shared" si="13"/>
        <v>0</v>
      </c>
      <c r="W74" s="3"/>
      <c r="X74" s="8">
        <f t="shared" si="14"/>
        <v>336.98</v>
      </c>
      <c r="Y74" s="3"/>
      <c r="Z74" s="7">
        <f t="shared" si="15"/>
        <v>0</v>
      </c>
    </row>
    <row r="75" spans="1:26" s="69" customFormat="1" ht="15" hidden="1" customHeight="1" outlineLevel="2" x14ac:dyDescent="0.3">
      <c r="A75" s="26"/>
      <c r="B75" s="12" t="str">
        <f>CONCATENATE("          ","6235"," - ","COVID-19 EXPENSES")</f>
        <v xml:space="preserve">          6235 - COVID-19 EXPENSES</v>
      </c>
      <c r="C75" s="12"/>
      <c r="D75" s="8">
        <v>158.76</v>
      </c>
      <c r="E75" s="3"/>
      <c r="F75" s="7">
        <f t="shared" si="8"/>
        <v>1.1414861925899168E-4</v>
      </c>
      <c r="G75" s="3"/>
      <c r="H75" s="8">
        <v>2921.2</v>
      </c>
      <c r="I75" s="3"/>
      <c r="J75" s="7">
        <f t="shared" si="9"/>
        <v>3.4512270215528017E-2</v>
      </c>
      <c r="K75" s="3"/>
      <c r="L75" s="8">
        <f t="shared" si="10"/>
        <v>-2762.4399999999996</v>
      </c>
      <c r="M75" s="3"/>
      <c r="N75" s="7">
        <f t="shared" si="11"/>
        <v>-0.94565247158701893</v>
      </c>
      <c r="O75" s="12"/>
      <c r="P75" s="8">
        <v>158.76</v>
      </c>
      <c r="Q75" s="3"/>
      <c r="R75" s="7">
        <f t="shared" si="12"/>
        <v>2.0309192332664323E-5</v>
      </c>
      <c r="S75" s="3"/>
      <c r="T75" s="8">
        <v>53569.55</v>
      </c>
      <c r="U75" s="3"/>
      <c r="V75" s="7">
        <f t="shared" si="13"/>
        <v>7.0542556883265925E-2</v>
      </c>
      <c r="W75" s="3"/>
      <c r="X75" s="8">
        <f t="shared" si="14"/>
        <v>-53410.79</v>
      </c>
      <c r="Y75" s="3"/>
      <c r="Z75" s="7">
        <f t="shared" si="15"/>
        <v>-0.9970363760755877</v>
      </c>
    </row>
    <row r="76" spans="1:26" s="69" customFormat="1" ht="15" hidden="1" customHeight="1" outlineLevel="2" x14ac:dyDescent="0.3">
      <c r="A76" s="26"/>
      <c r="B76" s="12" t="str">
        <f>CONCATENATE("          ","6237"," - ","JANITORIAL SUPPLIES")</f>
        <v xml:space="preserve">          6237 - JANITORIAL SUPPLIES</v>
      </c>
      <c r="C76" s="12"/>
      <c r="D76" s="8">
        <v>9053.85</v>
      </c>
      <c r="E76" s="3"/>
      <c r="F76" s="7">
        <f t="shared" si="8"/>
        <v>6.5097283728774375E-3</v>
      </c>
      <c r="G76" s="3"/>
      <c r="H76" s="8">
        <v>648.99</v>
      </c>
      <c r="I76" s="3"/>
      <c r="J76" s="7">
        <f t="shared" si="9"/>
        <v>7.667437439126225E-3</v>
      </c>
      <c r="K76" s="3"/>
      <c r="L76" s="8">
        <f t="shared" si="10"/>
        <v>8404.86</v>
      </c>
      <c r="M76" s="3"/>
      <c r="N76" s="7">
        <f t="shared" si="11"/>
        <v>12.950677206120281</v>
      </c>
      <c r="O76" s="12"/>
      <c r="P76" s="8">
        <v>43089.99</v>
      </c>
      <c r="Q76" s="3"/>
      <c r="R76" s="7">
        <f t="shared" si="12"/>
        <v>5.5122379347605334E-3</v>
      </c>
      <c r="S76" s="3"/>
      <c r="T76" s="8">
        <v>17884.8</v>
      </c>
      <c r="U76" s="3"/>
      <c r="V76" s="7">
        <f t="shared" si="13"/>
        <v>2.3551430268610327E-2</v>
      </c>
      <c r="W76" s="3"/>
      <c r="X76" s="8">
        <f t="shared" si="14"/>
        <v>25205.19</v>
      </c>
      <c r="Y76" s="3"/>
      <c r="Z76" s="7">
        <f t="shared" si="15"/>
        <v>1.4093079039184111</v>
      </c>
    </row>
    <row r="77" spans="1:26" s="69" customFormat="1" ht="15" hidden="1" customHeight="1" outlineLevel="2" x14ac:dyDescent="0.3">
      <c r="A77" s="26"/>
      <c r="B77" s="12" t="str">
        <f>CONCATENATE("          ","6239"," - ","KITCHEN SUPPLIES")</f>
        <v xml:space="preserve">          6239 - KITCHEN SUPPLIES</v>
      </c>
      <c r="C77" s="12"/>
      <c r="D77" s="8">
        <v>2471.66</v>
      </c>
      <c r="E77" s="3"/>
      <c r="F77" s="7">
        <f t="shared" si="8"/>
        <v>1.7771263307991899E-3</v>
      </c>
      <c r="G77" s="3"/>
      <c r="H77" s="8">
        <v>253.3</v>
      </c>
      <c r="I77" s="3"/>
      <c r="J77" s="7">
        <f t="shared" si="9"/>
        <v>2.9925914164019058E-3</v>
      </c>
      <c r="K77" s="3"/>
      <c r="L77" s="8">
        <f t="shared" si="10"/>
        <v>2218.3599999999997</v>
      </c>
      <c r="M77" s="3"/>
      <c r="N77" s="7">
        <f t="shared" si="11"/>
        <v>8.7578365574417667</v>
      </c>
      <c r="O77" s="12"/>
      <c r="P77" s="8">
        <v>27900.25</v>
      </c>
      <c r="Q77" s="3"/>
      <c r="R77" s="7">
        <f t="shared" si="12"/>
        <v>3.5691077310368974E-3</v>
      </c>
      <c r="S77" s="3"/>
      <c r="T77" s="8">
        <v>7047.33</v>
      </c>
      <c r="U77" s="3"/>
      <c r="V77" s="7">
        <f t="shared" si="13"/>
        <v>9.2802100708358846E-3</v>
      </c>
      <c r="W77" s="3"/>
      <c r="X77" s="8">
        <f t="shared" si="14"/>
        <v>20852.919999999998</v>
      </c>
      <c r="Y77" s="3"/>
      <c r="Z77" s="7">
        <f t="shared" si="15"/>
        <v>2.9589816285032771</v>
      </c>
    </row>
    <row r="78" spans="1:26" s="69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8">
        <v>1849.1</v>
      </c>
      <c r="E78" s="3"/>
      <c r="F78" s="7">
        <f t="shared" si="8"/>
        <v>1.329504987854633E-3</v>
      </c>
      <c r="G78" s="3"/>
      <c r="H78" s="8">
        <v>1048.1199999999999</v>
      </c>
      <c r="I78" s="3"/>
      <c r="J78" s="7">
        <f t="shared" si="9"/>
        <v>1.2382925050766541E-2</v>
      </c>
      <c r="K78" s="3"/>
      <c r="L78" s="8">
        <f t="shared" si="10"/>
        <v>800.98</v>
      </c>
      <c r="M78" s="3"/>
      <c r="N78" s="7">
        <f t="shared" si="11"/>
        <v>0.76420638858146028</v>
      </c>
      <c r="O78" s="12"/>
      <c r="P78" s="8">
        <v>15998.69</v>
      </c>
      <c r="Q78" s="3"/>
      <c r="R78" s="7">
        <f t="shared" si="12"/>
        <v>2.0466142118964058E-3</v>
      </c>
      <c r="S78" s="3"/>
      <c r="T78" s="8">
        <v>5315.61</v>
      </c>
      <c r="U78" s="3"/>
      <c r="V78" s="7">
        <f t="shared" si="13"/>
        <v>6.999810914862215E-3</v>
      </c>
      <c r="W78" s="3"/>
      <c r="X78" s="8">
        <f t="shared" si="14"/>
        <v>10683.080000000002</v>
      </c>
      <c r="Y78" s="3"/>
      <c r="Z78" s="7">
        <f t="shared" si="15"/>
        <v>2.0097561709756739</v>
      </c>
    </row>
    <row r="79" spans="1:26" s="69" customFormat="1" ht="15" hidden="1" customHeight="1" outlineLevel="2" x14ac:dyDescent="0.3">
      <c r="A79" s="26"/>
      <c r="B79" s="12" t="str">
        <f>CONCATENATE("          ","6243"," - ","PAPER SUPPLIES")</f>
        <v xml:space="preserve">          6243 - PAPER SUPPLIES</v>
      </c>
      <c r="C79" s="12"/>
      <c r="D79" s="8">
        <v>13549.11</v>
      </c>
      <c r="E79" s="3"/>
      <c r="F79" s="7">
        <f t="shared" si="8"/>
        <v>9.7418253885625909E-3</v>
      </c>
      <c r="G79" s="3"/>
      <c r="H79" s="8">
        <v>7200.74</v>
      </c>
      <c r="I79" s="3"/>
      <c r="J79" s="7">
        <f t="shared" si="9"/>
        <v>8.507253342179967E-2</v>
      </c>
      <c r="K79" s="3"/>
      <c r="L79" s="8">
        <f t="shared" si="10"/>
        <v>6348.3700000000008</v>
      </c>
      <c r="M79" s="3"/>
      <c r="N79" s="7">
        <f t="shared" si="11"/>
        <v>0.8816274438460493</v>
      </c>
      <c r="O79" s="12"/>
      <c r="P79" s="8">
        <v>151491.57</v>
      </c>
      <c r="Q79" s="3"/>
      <c r="R79" s="7">
        <f t="shared" si="12"/>
        <v>1.9379386696316961E-2</v>
      </c>
      <c r="S79" s="3"/>
      <c r="T79" s="8">
        <v>24253.49</v>
      </c>
      <c r="U79" s="3"/>
      <c r="V79" s="7">
        <f t="shared" si="13"/>
        <v>3.1937979653417312E-2</v>
      </c>
      <c r="W79" s="3"/>
      <c r="X79" s="8">
        <f t="shared" si="14"/>
        <v>127238.08</v>
      </c>
      <c r="Y79" s="3"/>
      <c r="Z79" s="7">
        <f t="shared" si="15"/>
        <v>5.2461761173340413</v>
      </c>
    </row>
    <row r="80" spans="1:26" s="69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8">
        <v>369.46</v>
      </c>
      <c r="E80" s="3"/>
      <c r="F80" s="7">
        <f t="shared" si="8"/>
        <v>2.6564215716444364E-4</v>
      </c>
      <c r="G80" s="3"/>
      <c r="H80" s="8"/>
      <c r="I80" s="3"/>
      <c r="J80" s="7">
        <f t="shared" si="9"/>
        <v>0</v>
      </c>
      <c r="K80" s="3"/>
      <c r="L80" s="8">
        <f t="shared" si="10"/>
        <v>369.46</v>
      </c>
      <c r="M80" s="3"/>
      <c r="N80" s="7">
        <f t="shared" si="11"/>
        <v>0</v>
      </c>
      <c r="O80" s="12"/>
      <c r="P80" s="8">
        <v>1614.17</v>
      </c>
      <c r="Q80" s="3"/>
      <c r="R80" s="7">
        <f t="shared" si="12"/>
        <v>2.0649086034024171E-4</v>
      </c>
      <c r="S80" s="3"/>
      <c r="T80" s="8"/>
      <c r="U80" s="3"/>
      <c r="V80" s="7">
        <f t="shared" si="13"/>
        <v>0</v>
      </c>
      <c r="W80" s="3"/>
      <c r="X80" s="8">
        <f t="shared" si="14"/>
        <v>1614.17</v>
      </c>
      <c r="Y80" s="3"/>
      <c r="Z80" s="7">
        <f t="shared" si="15"/>
        <v>0</v>
      </c>
    </row>
    <row r="81" spans="1:26" s="69" customFormat="1" ht="15" hidden="1" customHeight="1" outlineLevel="2" x14ac:dyDescent="0.3">
      <c r="A81" s="26"/>
      <c r="B81" s="12" t="str">
        <f>CONCATENATE("          ","6248"," - ","UNIFORMS")</f>
        <v xml:space="preserve">          6248 - UNIFORMS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5611.23</v>
      </c>
      <c r="Q81" s="3"/>
      <c r="R81" s="7">
        <f t="shared" si="12"/>
        <v>7.1781021222484267E-4</v>
      </c>
      <c r="S81" s="3"/>
      <c r="T81" s="8">
        <v>4500.59</v>
      </c>
      <c r="U81" s="3"/>
      <c r="V81" s="7">
        <f t="shared" si="13"/>
        <v>5.926559511574352E-3</v>
      </c>
      <c r="W81" s="3"/>
      <c r="X81" s="8">
        <f t="shared" si="14"/>
        <v>1110.6399999999994</v>
      </c>
      <c r="Y81" s="3"/>
      <c r="Z81" s="7">
        <f t="shared" si="15"/>
        <v>0.24677653374335351</v>
      </c>
    </row>
    <row r="82" spans="1:26" s="68" customFormat="1" ht="15" customHeight="1" outlineLevel="1" collapsed="1" x14ac:dyDescent="0.3">
      <c r="A82" s="25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SUM(OSRRefD22_16x_0)</f>
        <v>734</v>
      </c>
      <c r="E82" s="2"/>
      <c r="F82" s="6">
        <f t="shared" si="8"/>
        <v>5.2774682877361999E-4</v>
      </c>
      <c r="G82" s="2"/>
      <c r="H82" s="2">
        <f>SUM(OSRRefH22_16x_0)</f>
        <v>248</v>
      </c>
      <c r="I82" s="2"/>
      <c r="J82" s="6">
        <f t="shared" si="9"/>
        <v>2.9299750148743487E-3</v>
      </c>
      <c r="K82" s="2"/>
      <c r="L82" s="2">
        <f t="shared" si="10"/>
        <v>486</v>
      </c>
      <c r="M82" s="2"/>
      <c r="N82" s="6">
        <f t="shared" si="11"/>
        <v>1.9596774193548387</v>
      </c>
      <c r="O82" s="14"/>
      <c r="P82" s="2">
        <f>SUM(OSRRefP22_16x_0)</f>
        <v>5753.85</v>
      </c>
      <c r="Q82" s="2"/>
      <c r="R82" s="6">
        <f t="shared" si="12"/>
        <v>7.3605471342467013E-4</v>
      </c>
      <c r="S82" s="2"/>
      <c r="T82" s="2">
        <f>SUM(OSRRefT22_16x_0)</f>
        <v>4279.32</v>
      </c>
      <c r="U82" s="2"/>
      <c r="V82" s="6">
        <f t="shared" si="13"/>
        <v>5.6351821981274345E-3</v>
      </c>
      <c r="W82" s="2"/>
      <c r="X82" s="2">
        <f t="shared" si="14"/>
        <v>1474.5300000000007</v>
      </c>
      <c r="Y82" s="2"/>
      <c r="Z82" s="6">
        <f t="shared" si="15"/>
        <v>0.34457110008132152</v>
      </c>
    </row>
    <row r="83" spans="1:26" s="69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8">
        <v>734</v>
      </c>
      <c r="E83" s="3"/>
      <c r="F83" s="7">
        <f t="shared" si="8"/>
        <v>5.2774682877361999E-4</v>
      </c>
      <c r="G83" s="3"/>
      <c r="H83" s="8">
        <v>248</v>
      </c>
      <c r="I83" s="3"/>
      <c r="J83" s="7">
        <f t="shared" si="9"/>
        <v>2.9299750148743487E-3</v>
      </c>
      <c r="K83" s="3"/>
      <c r="L83" s="8">
        <f t="shared" si="10"/>
        <v>486</v>
      </c>
      <c r="M83" s="3"/>
      <c r="N83" s="7">
        <f t="shared" si="11"/>
        <v>1.9596774193548387</v>
      </c>
      <c r="O83" s="12"/>
      <c r="P83" s="8">
        <v>5753.85</v>
      </c>
      <c r="Q83" s="3"/>
      <c r="R83" s="7">
        <f t="shared" si="12"/>
        <v>7.3605471342467013E-4</v>
      </c>
      <c r="S83" s="3"/>
      <c r="T83" s="8">
        <v>4279.32</v>
      </c>
      <c r="U83" s="3"/>
      <c r="V83" s="7">
        <f t="shared" si="13"/>
        <v>5.6351821981274345E-3</v>
      </c>
      <c r="W83" s="3"/>
      <c r="X83" s="8">
        <f t="shared" si="14"/>
        <v>1474.5300000000007</v>
      </c>
      <c r="Y83" s="3"/>
      <c r="Z83" s="7">
        <f t="shared" si="15"/>
        <v>0.34457110008132152</v>
      </c>
    </row>
    <row r="84" spans="1:26" s="68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SUM(OSRRefD22_17x_0)</f>
        <v>4000</v>
      </c>
      <c r="E84" s="2"/>
      <c r="F84" s="6">
        <f t="shared" si="8"/>
        <v>2.8760045164774929E-3</v>
      </c>
      <c r="G84" s="2"/>
      <c r="H84" s="2">
        <f>SUM(OSRRefH22_17x_0)</f>
        <v>0</v>
      </c>
      <c r="I84" s="2"/>
      <c r="J84" s="6">
        <f t="shared" si="9"/>
        <v>0</v>
      </c>
      <c r="K84" s="2"/>
      <c r="L84" s="2">
        <f t="shared" si="10"/>
        <v>4000</v>
      </c>
      <c r="M84" s="2"/>
      <c r="N84" s="6">
        <f t="shared" si="11"/>
        <v>0</v>
      </c>
      <c r="O84" s="14"/>
      <c r="P84" s="2">
        <f>SUM(OSRRefP22_17x_0)</f>
        <v>5393.87</v>
      </c>
      <c r="Q84" s="2"/>
      <c r="R84" s="6">
        <f t="shared" si="12"/>
        <v>6.9000468157840843E-4</v>
      </c>
      <c r="S84" s="2"/>
      <c r="T84" s="2">
        <f>SUM(OSRRefT22_17x_0)</f>
        <v>735</v>
      </c>
      <c r="U84" s="2"/>
      <c r="V84" s="6">
        <f t="shared" si="13"/>
        <v>9.6787782068732064E-4</v>
      </c>
      <c r="W84" s="2"/>
      <c r="X84" s="2">
        <f t="shared" si="14"/>
        <v>4658.87</v>
      </c>
      <c r="Y84" s="2"/>
      <c r="Z84" s="6">
        <f t="shared" si="15"/>
        <v>6.3385986394557818</v>
      </c>
    </row>
    <row r="85" spans="1:26" s="69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8">
        <v>4000</v>
      </c>
      <c r="E85" s="3"/>
      <c r="F85" s="7">
        <f t="shared" si="8"/>
        <v>2.8760045164774929E-3</v>
      </c>
      <c r="G85" s="3"/>
      <c r="H85" s="8"/>
      <c r="I85" s="3"/>
      <c r="J85" s="7">
        <f t="shared" si="9"/>
        <v>0</v>
      </c>
      <c r="K85" s="3"/>
      <c r="L85" s="8">
        <f t="shared" si="10"/>
        <v>4000</v>
      </c>
      <c r="M85" s="3"/>
      <c r="N85" s="7">
        <f t="shared" si="11"/>
        <v>0</v>
      </c>
      <c r="O85" s="12"/>
      <c r="P85" s="8">
        <v>5393.87</v>
      </c>
      <c r="Q85" s="3"/>
      <c r="R85" s="7">
        <f t="shared" si="12"/>
        <v>6.9000468157840843E-4</v>
      </c>
      <c r="S85" s="3"/>
      <c r="T85" s="8">
        <v>735</v>
      </c>
      <c r="U85" s="3"/>
      <c r="V85" s="7">
        <f t="shared" si="13"/>
        <v>9.6787782068732064E-4</v>
      </c>
      <c r="W85" s="3"/>
      <c r="X85" s="8">
        <f t="shared" si="14"/>
        <v>4658.87</v>
      </c>
      <c r="Y85" s="3"/>
      <c r="Z85" s="7">
        <f t="shared" si="15"/>
        <v>6.3385986394557818</v>
      </c>
    </row>
    <row r="86" spans="1:26" s="68" customFormat="1" ht="15" customHeight="1" outlineLevel="1" collapsed="1" x14ac:dyDescent="0.3">
      <c r="A86" s="25"/>
      <c r="B86" s="14" t="str">
        <f>CONCATENATE("     ","Travel                                            ")</f>
        <v xml:space="preserve">     Travel                                            </v>
      </c>
      <c r="C86" s="14"/>
      <c r="D86" s="2">
        <f>SUM(OSRRefD22_18x_0)</f>
        <v>0</v>
      </c>
      <c r="E86" s="2"/>
      <c r="F86" s="6">
        <f t="shared" si="8"/>
        <v>0</v>
      </c>
      <c r="G86" s="2"/>
      <c r="H86" s="2">
        <f>SUM(OSRRefH22_18x_0)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SUM(OSRRefP22_18x_0)</f>
        <v>699.02</v>
      </c>
      <c r="Q86" s="2"/>
      <c r="R86" s="6">
        <f t="shared" si="12"/>
        <v>8.9421338022039649E-5</v>
      </c>
      <c r="S86" s="2"/>
      <c r="T86" s="2">
        <f>SUM(OSRRefT22_18x_0)</f>
        <v>0</v>
      </c>
      <c r="U86" s="2"/>
      <c r="V86" s="6">
        <f t="shared" si="13"/>
        <v>0</v>
      </c>
      <c r="W86" s="2"/>
      <c r="X86" s="2">
        <f t="shared" si="14"/>
        <v>699.02</v>
      </c>
      <c r="Y86" s="2"/>
      <c r="Z86" s="6">
        <f t="shared" si="15"/>
        <v>0</v>
      </c>
    </row>
    <row r="87" spans="1:26" s="69" customFormat="1" ht="15" hidden="1" customHeight="1" outlineLevel="2" x14ac:dyDescent="0.3">
      <c r="A87" s="26"/>
      <c r="B87" s="12" t="str">
        <f>CONCATENATE("          ","6292"," - ","TRAVEL/CONFERENCE")</f>
        <v xml:space="preserve">          6292 - TRAVEL/CONFERENCE</v>
      </c>
      <c r="C87" s="12"/>
      <c r="D87" s="8"/>
      <c r="E87" s="3"/>
      <c r="F87" s="7">
        <f t="shared" si="8"/>
        <v>0</v>
      </c>
      <c r="G87" s="3"/>
      <c r="H87" s="8"/>
      <c r="I87" s="3"/>
      <c r="J87" s="7">
        <f t="shared" si="9"/>
        <v>0</v>
      </c>
      <c r="K87" s="3"/>
      <c r="L87" s="8">
        <f t="shared" si="10"/>
        <v>0</v>
      </c>
      <c r="M87" s="3"/>
      <c r="N87" s="7">
        <f t="shared" si="11"/>
        <v>0</v>
      </c>
      <c r="O87" s="12"/>
      <c r="P87" s="8">
        <v>595</v>
      </c>
      <c r="Q87" s="3"/>
      <c r="R87" s="7">
        <f t="shared" si="12"/>
        <v>7.6114697895787815E-5</v>
      </c>
      <c r="S87" s="3"/>
      <c r="T87" s="8"/>
      <c r="U87" s="3"/>
      <c r="V87" s="7">
        <f t="shared" si="13"/>
        <v>0</v>
      </c>
      <c r="W87" s="3"/>
      <c r="X87" s="8">
        <f t="shared" si="14"/>
        <v>595</v>
      </c>
      <c r="Y87" s="3"/>
      <c r="Z87" s="7">
        <f t="shared" si="15"/>
        <v>0</v>
      </c>
    </row>
    <row r="88" spans="1:26" s="69" customFormat="1" ht="15" hidden="1" customHeight="1" outlineLevel="2" x14ac:dyDescent="0.3">
      <c r="A88" s="26"/>
      <c r="B88" s="12" t="str">
        <f>CONCATENATE("          ","6298"," - ","VEHICLE MILEAGE")</f>
        <v xml:space="preserve">          6298 - VEHICLE MILEAGE</v>
      </c>
      <c r="C88" s="12"/>
      <c r="D88" s="8"/>
      <c r="E88" s="3"/>
      <c r="F88" s="7">
        <f t="shared" si="8"/>
        <v>0</v>
      </c>
      <c r="G88" s="3"/>
      <c r="H88" s="8"/>
      <c r="I88" s="3"/>
      <c r="J88" s="7">
        <f t="shared" si="9"/>
        <v>0</v>
      </c>
      <c r="K88" s="3"/>
      <c r="L88" s="8">
        <f t="shared" si="10"/>
        <v>0</v>
      </c>
      <c r="M88" s="3"/>
      <c r="N88" s="7">
        <f t="shared" si="11"/>
        <v>0</v>
      </c>
      <c r="O88" s="12"/>
      <c r="P88" s="8">
        <v>104.02</v>
      </c>
      <c r="Q88" s="3"/>
      <c r="R88" s="7">
        <f t="shared" si="12"/>
        <v>1.3306640126251845E-5</v>
      </c>
      <c r="S88" s="3"/>
      <c r="T88" s="8"/>
      <c r="U88" s="3"/>
      <c r="V88" s="7">
        <f t="shared" si="13"/>
        <v>0</v>
      </c>
      <c r="W88" s="3"/>
      <c r="X88" s="8">
        <f t="shared" si="14"/>
        <v>104.02</v>
      </c>
      <c r="Y88" s="3"/>
      <c r="Z88" s="7">
        <f t="shared" si="15"/>
        <v>0</v>
      </c>
    </row>
    <row r="89" spans="1:26" s="64" customFormat="1" ht="15" customHeight="1" x14ac:dyDescent="0.3">
      <c r="A89" s="36"/>
      <c r="B89" s="36"/>
      <c r="C89" s="36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6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2" customFormat="1" ht="15" customHeight="1" x14ac:dyDescent="0.3">
      <c r="A90" s="11"/>
      <c r="B90" s="27" t="s">
        <v>290</v>
      </c>
      <c r="C90" s="11"/>
      <c r="D90" s="5">
        <f>SUM(0)</f>
        <v>0</v>
      </c>
      <c r="E90" s="5"/>
      <c r="F90" s="13">
        <f>IF(D$12=0,0,D90/D$12)</f>
        <v>0</v>
      </c>
      <c r="G90" s="5"/>
      <c r="H90" s="5">
        <f>SUM(0)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SUM(0)</f>
        <v>0</v>
      </c>
      <c r="Q90" s="5"/>
      <c r="R90" s="13">
        <f>IF(P$12=0,0,P90/P$12)</f>
        <v>0</v>
      </c>
      <c r="S90" s="5"/>
      <c r="T90" s="5">
        <f>SUM(0)</f>
        <v>0</v>
      </c>
      <c r="U90" s="5"/>
      <c r="V90" s="13">
        <f>IF(T$12=0,0,T90/T$12)</f>
        <v>0</v>
      </c>
      <c r="W90" s="5"/>
      <c r="X90" s="5">
        <f>+P90-T90</f>
        <v>0</v>
      </c>
      <c r="Y90" s="5"/>
      <c r="Z90" s="13">
        <f>IF(T90=0,0,X90/T90)</f>
        <v>0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11"/>
      <c r="B92" s="28" t="s">
        <v>291</v>
      </c>
      <c r="C92" s="28"/>
      <c r="D92" s="23">
        <f>+D21-D23+D90</f>
        <v>548335.35999999987</v>
      </c>
      <c r="E92" s="15"/>
      <c r="F92" s="22">
        <f>IF(D$12=0,0,D92/D$12)</f>
        <v>0.3942537429760779</v>
      </c>
      <c r="G92" s="15"/>
      <c r="H92" s="23">
        <f>+H21-H23+H90</f>
        <v>-169656.61</v>
      </c>
      <c r="I92" s="15"/>
      <c r="J92" s="22">
        <f>IF(H$12=0,0,H92/H$12)</f>
        <v>-2.0043936629366192</v>
      </c>
      <c r="K92" s="17"/>
      <c r="L92" s="23">
        <f>+D92-H92</f>
        <v>717991.96999999986</v>
      </c>
      <c r="M92" s="17"/>
      <c r="N92" s="22">
        <f>IF(H92=0,0,L92/H92)</f>
        <v>-4.2320306293989951</v>
      </c>
      <c r="O92" s="27"/>
      <c r="P92" s="23">
        <f>+P21-P23+P90</f>
        <v>2317888.7600000016</v>
      </c>
      <c r="Q92" s="15"/>
      <c r="R92" s="22">
        <f>IF(P$12=0,0,P92/P$12)</f>
        <v>0.29651328188813841</v>
      </c>
      <c r="S92" s="15"/>
      <c r="T92" s="23">
        <f>+T21-T23+T90</f>
        <v>-1363199.0400000003</v>
      </c>
      <c r="U92" s="15"/>
      <c r="V92" s="22">
        <f>IF(T$12=0,0,T92/T$12)</f>
        <v>-1.7951158040792488</v>
      </c>
      <c r="W92" s="17"/>
      <c r="X92" s="23">
        <f>+P92-T92</f>
        <v>3681087.8000000017</v>
      </c>
      <c r="Y92" s="17"/>
      <c r="Z92" s="22">
        <f>IF(T92=0,0,X92/T92)</f>
        <v>-2.7003303934251606</v>
      </c>
    </row>
    <row r="93" spans="1:26" ht="15" customHeight="1" x14ac:dyDescent="0.3">
      <c r="A93" s="10"/>
      <c r="B93" s="11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48"/>
      <c r="B94" s="11" t="s">
        <v>292</v>
      </c>
      <c r="C94" s="11"/>
      <c r="D94" s="5">
        <v>125121.06</v>
      </c>
      <c r="E94" s="5"/>
      <c r="F94" s="13">
        <f>IF(D$12=0,0,D94/D$12)</f>
        <v>8.9962183416612843E-2</v>
      </c>
      <c r="G94" s="5"/>
      <c r="H94" s="5">
        <v>27901.9</v>
      </c>
      <c r="I94" s="5"/>
      <c r="J94" s="13">
        <f>IF(H$12=0,0,H94/H$12)</f>
        <v>0.32964463656259113</v>
      </c>
      <c r="K94" s="5"/>
      <c r="L94" s="5">
        <f>+D94-H94</f>
        <v>97219.16</v>
      </c>
      <c r="M94" s="5"/>
      <c r="N94" s="13">
        <f>IF(H94=0,0,L94/H94)</f>
        <v>3.4843204226235489</v>
      </c>
      <c r="O94" s="11"/>
      <c r="P94" s="5">
        <v>975757.76</v>
      </c>
      <c r="Q94" s="5"/>
      <c r="R94" s="13">
        <f>IF(P$12=0,0,P94/P$12)</f>
        <v>0.12482270104516072</v>
      </c>
      <c r="S94" s="5"/>
      <c r="T94" s="5">
        <v>150387.06</v>
      </c>
      <c r="U94" s="5"/>
      <c r="V94" s="13">
        <f>IF(T$12=0,0,T94/T$12)</f>
        <v>0.19803578216649431</v>
      </c>
      <c r="W94" s="5"/>
      <c r="X94" s="5">
        <f>+P94-T94</f>
        <v>825370.7</v>
      </c>
      <c r="Y94" s="5"/>
      <c r="Z94" s="13">
        <f>IF(T94=0,0,X94/T94)</f>
        <v>5.4883093000155725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2" customFormat="1" ht="15" customHeight="1" x14ac:dyDescent="0.3">
      <c r="A96" s="11"/>
      <c r="B96" s="28" t="s">
        <v>293</v>
      </c>
      <c r="C96" s="28"/>
      <c r="D96" s="33">
        <f>+D92-D94</f>
        <v>423214.29999999987</v>
      </c>
      <c r="E96" s="15"/>
      <c r="F96" s="34">
        <f>IF(D$12=0,0,D96/D$12)</f>
        <v>0.30429155955946507</v>
      </c>
      <c r="G96" s="15"/>
      <c r="H96" s="33">
        <f>+H92-H94</f>
        <v>-197558.50999999998</v>
      </c>
      <c r="I96" s="15"/>
      <c r="J96" s="34">
        <f>IF(H$12=0,0,H96/H$12)</f>
        <v>-2.3340382994992104</v>
      </c>
      <c r="K96" s="17"/>
      <c r="L96" s="33">
        <f>D96-H96</f>
        <v>620772.80999999982</v>
      </c>
      <c r="M96" s="17"/>
      <c r="N96" s="34">
        <f>IF(H96=0,0,L96/H96)</f>
        <v>-3.1422225749728518</v>
      </c>
      <c r="O96" s="27"/>
      <c r="P96" s="33">
        <f>+P92-P94</f>
        <v>1342131.0000000016</v>
      </c>
      <c r="Q96" s="15"/>
      <c r="R96" s="34">
        <f>IF(P$12=0,0,P96/P$12)</f>
        <v>0.17169058084297767</v>
      </c>
      <c r="S96" s="15"/>
      <c r="T96" s="33">
        <f>+T92-T94</f>
        <v>-1513586.1000000003</v>
      </c>
      <c r="U96" s="15"/>
      <c r="V96" s="34">
        <f>IF(T$12=0,0,T96/T$12)</f>
        <v>-1.9931515862457432</v>
      </c>
      <c r="W96" s="17"/>
      <c r="X96" s="33">
        <f>P96-T96</f>
        <v>2855717.100000002</v>
      </c>
      <c r="Y96" s="17"/>
      <c r="Z96" s="34">
        <f>IF(T96=0,0,X96/T96)</f>
        <v>-1.8867225987342255</v>
      </c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8" t="s">
        <v>296</v>
      </c>
      <c r="C99" s="28"/>
      <c r="D99" s="35">
        <f>SUM(D96:D98)</f>
        <v>423214.29999999987</v>
      </c>
      <c r="E99" s="15"/>
      <c r="F99" s="29">
        <f>IF(D$12=0,0,D99/D$12)</f>
        <v>0.30429155955946507</v>
      </c>
      <c r="G99" s="15"/>
      <c r="H99" s="35">
        <f>SUM(H96:H98)</f>
        <v>-197558.50999999998</v>
      </c>
      <c r="I99" s="15"/>
      <c r="J99" s="29">
        <f>IF(H$12=0,0,H99/H$12)</f>
        <v>-2.3340382994992104</v>
      </c>
      <c r="K99" s="17"/>
      <c r="L99" s="35">
        <f>+D99-H99</f>
        <v>620772.80999999982</v>
      </c>
      <c r="M99" s="17"/>
      <c r="N99" s="29">
        <f>IF(H99=0,0,L99/H99)</f>
        <v>-3.1422225749728518</v>
      </c>
      <c r="O99" s="27"/>
      <c r="P99" s="35">
        <f>SUM(P96:P98)</f>
        <v>1342131.0000000016</v>
      </c>
      <c r="Q99" s="15"/>
      <c r="R99" s="29">
        <f>IF(P$12=0,0,P99/P$12)</f>
        <v>0.17169058084297767</v>
      </c>
      <c r="S99" s="15"/>
      <c r="T99" s="35">
        <f>SUM(T96:T98)</f>
        <v>-1513586.1000000003</v>
      </c>
      <c r="U99" s="15"/>
      <c r="V99" s="29">
        <f>IF(T$12=0,0,T99/T$12)</f>
        <v>-1.9931515862457432</v>
      </c>
      <c r="W99" s="17"/>
      <c r="X99" s="35">
        <f>+P99-T99</f>
        <v>2855717.100000002</v>
      </c>
      <c r="Y99" s="17"/>
      <c r="Z99" s="29">
        <f>IF(T99=0,0,X99/T99)</f>
        <v>-1.8867225987342255</v>
      </c>
    </row>
    <row r="100" spans="1:26" ht="15" customHeight="1" x14ac:dyDescent="0.3">
      <c r="A100" s="10"/>
      <c r="C100" s="10"/>
      <c r="D100" s="18"/>
      <c r="E100" s="18"/>
      <c r="G100" s="18"/>
      <c r="H100" s="18"/>
      <c r="I100" s="18"/>
      <c r="J100" s="41"/>
      <c r="K100" s="18"/>
      <c r="L100" s="18"/>
      <c r="M100" s="18"/>
      <c r="P100" s="18"/>
      <c r="Q100" s="18"/>
      <c r="R100" s="41"/>
      <c r="S100" s="18"/>
      <c r="T100" s="18"/>
      <c r="U100" s="18"/>
      <c r="V100" s="41"/>
      <c r="W100" s="18"/>
      <c r="X100" s="18"/>
    </row>
    <row r="101" spans="1:26" ht="15" customHeight="1" x14ac:dyDescent="0.3">
      <c r="A101" s="10"/>
      <c r="B101" s="50">
        <v>44634.88772997685</v>
      </c>
      <c r="D101" s="18"/>
      <c r="E101" s="18"/>
      <c r="G101" s="18"/>
      <c r="H101" s="18"/>
      <c r="I101" s="18"/>
      <c r="J101" s="41"/>
      <c r="K101" s="18"/>
      <c r="L101" s="18"/>
      <c r="M101" s="18"/>
      <c r="P101" s="18"/>
      <c r="Q101" s="18"/>
      <c r="R101" s="41"/>
      <c r="S101" s="18"/>
      <c r="T101" s="18"/>
      <c r="U101" s="18"/>
      <c r="V101" s="41"/>
      <c r="W101" s="18"/>
      <c r="X101" s="18"/>
    </row>
    <row r="102" spans="1:26" ht="15" customHeight="1" x14ac:dyDescent="0.3">
      <c r="A102" s="10"/>
      <c r="B102" s="58" t="s">
        <v>297</v>
      </c>
      <c r="D102" s="18"/>
      <c r="E102" s="18"/>
      <c r="G102" s="18"/>
      <c r="H102" s="18"/>
      <c r="I102" s="18"/>
      <c r="J102" s="41"/>
      <c r="K102" s="18"/>
      <c r="L102" s="18"/>
      <c r="M102" s="18"/>
      <c r="P102" s="18"/>
      <c r="Q102" s="18"/>
      <c r="R102" s="41"/>
      <c r="S102" s="18"/>
      <c r="T102" s="18"/>
      <c r="U102" s="18"/>
      <c r="V102" s="41"/>
      <c r="W102" s="18"/>
      <c r="X102" s="18"/>
    </row>
    <row r="103" spans="1:26" ht="15" customHeight="1" x14ac:dyDescent="0.3">
      <c r="A103" s="10"/>
      <c r="B103" s="56"/>
      <c r="D103" s="18"/>
      <c r="E103" s="18"/>
      <c r="G103" s="18"/>
      <c r="H103" s="18"/>
      <c r="I103" s="18"/>
      <c r="J103" s="41"/>
      <c r="K103" s="18"/>
      <c r="L103" s="18"/>
      <c r="M103" s="18"/>
      <c r="P103" s="18"/>
      <c r="Q103" s="18"/>
      <c r="R103" s="41"/>
      <c r="S103" s="18"/>
      <c r="T103" s="18"/>
      <c r="U103" s="18"/>
      <c r="V103" s="41"/>
      <c r="W103" s="18"/>
      <c r="X103" s="18"/>
    </row>
    <row r="104" spans="1:26" ht="15" customHeight="1" x14ac:dyDescent="0.3">
      <c r="D104" s="18"/>
      <c r="E104" s="18"/>
      <c r="G104" s="18"/>
      <c r="H104" s="18"/>
      <c r="I104" s="18"/>
      <c r="J104" s="41"/>
      <c r="K104" s="18"/>
      <c r="L104" s="18"/>
      <c r="M104" s="18"/>
      <c r="P104" s="18"/>
      <c r="Q104" s="18"/>
      <c r="R104" s="41"/>
      <c r="S104" s="18"/>
      <c r="T104" s="18"/>
      <c r="U104" s="18"/>
      <c r="V104" s="41"/>
      <c r="W104" s="18"/>
      <c r="X104" s="18"/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7A2B-5CCD-DA38-789B-105F086E6FBB}">
  <sheetPr>
    <tabColor rgb="FF92D050"/>
    <outlinePr summaryBelow="0" summaryRight="0"/>
  </sheetPr>
  <dimension ref="A2:Z6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","430"," - ","Res Hall Management")</f>
        <v>Department 430 - Res Hall Management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22910.55</v>
      </c>
      <c r="E18" s="21"/>
      <c r="F18" s="30">
        <f t="shared" ref="F18:F44" si="0">IF(D$12=0,0,D18/D$12)</f>
        <v>0</v>
      </c>
      <c r="G18" s="21"/>
      <c r="H18" s="21" cm="1">
        <f t="array" ref="H18">SUM(OSRRefH22x_0)</f>
        <v>17844.22</v>
      </c>
      <c r="I18" s="21"/>
      <c r="J18" s="30">
        <f t="shared" ref="J18:J44" si="1">IF(H$12=0,0,H18/H$12)</f>
        <v>0</v>
      </c>
      <c r="K18" s="5"/>
      <c r="L18" s="21">
        <f t="shared" ref="L18:L44" si="2">+D18-H18</f>
        <v>5066.3299999999981</v>
      </c>
      <c r="M18" s="5"/>
      <c r="N18" s="30">
        <f t="shared" ref="N18:N44" si="3">IF(H18=0,0,L18/H18)</f>
        <v>0.28391994718738045</v>
      </c>
      <c r="O18" s="11"/>
      <c r="P18" s="21" cm="1">
        <f t="array" ref="P18">SUM(OSRRefP22x_0)</f>
        <v>160765.99</v>
      </c>
      <c r="Q18" s="21"/>
      <c r="R18" s="30">
        <f t="shared" ref="R18:R44" si="4">IF(P$12=0,0,P18/P$12)</f>
        <v>0</v>
      </c>
      <c r="S18" s="21"/>
      <c r="T18" s="21" cm="1">
        <f t="array" ref="T18">SUM(OSRRefT22x_0)</f>
        <v>135791.74</v>
      </c>
      <c r="U18" s="21"/>
      <c r="V18" s="30">
        <f t="shared" ref="V18:V44" si="5">IF(T$12=0,0,T18/T$12)</f>
        <v>0</v>
      </c>
      <c r="W18" s="5"/>
      <c r="X18" s="21">
        <f t="shared" ref="X18:X44" si="6">+P18-T18</f>
        <v>24974.25</v>
      </c>
      <c r="Y18" s="5"/>
      <c r="Z18" s="30">
        <f t="shared" ref="Z18:Z44" si="7">IF(T18=0,0,X18/T18)</f>
        <v>0.18391582580796154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5639.1399999999994</v>
      </c>
      <c r="E19" s="2"/>
      <c r="F19" s="6">
        <f t="shared" si="0"/>
        <v>0</v>
      </c>
      <c r="G19" s="2"/>
      <c r="H19" s="2">
        <f>SUM(OSRRefH22_0x_0)</f>
        <v>5309.6799999999994</v>
      </c>
      <c r="I19" s="2"/>
      <c r="J19" s="6">
        <f t="shared" si="1"/>
        <v>0</v>
      </c>
      <c r="K19" s="2"/>
      <c r="L19" s="2">
        <f t="shared" si="2"/>
        <v>329.46000000000004</v>
      </c>
      <c r="M19" s="2"/>
      <c r="N19" s="6">
        <f t="shared" si="3"/>
        <v>6.2048937035753579E-2</v>
      </c>
      <c r="O19" s="14"/>
      <c r="P19" s="2">
        <f>SUM(OSRRefP22_0x_0)</f>
        <v>48645.15</v>
      </c>
      <c r="Q19" s="2"/>
      <c r="R19" s="6">
        <f t="shared" si="4"/>
        <v>0</v>
      </c>
      <c r="S19" s="2"/>
      <c r="T19" s="2">
        <f>SUM(OSRRefT22_0x_0)</f>
        <v>46780.53</v>
      </c>
      <c r="U19" s="2"/>
      <c r="V19" s="6">
        <f t="shared" si="5"/>
        <v>0</v>
      </c>
      <c r="W19" s="2"/>
      <c r="X19" s="2">
        <f t="shared" si="6"/>
        <v>1864.6200000000026</v>
      </c>
      <c r="Y19" s="2"/>
      <c r="Z19" s="6">
        <f t="shared" si="7"/>
        <v>3.9858890012575802E-2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718.56</v>
      </c>
      <c r="E20" s="3"/>
      <c r="F20" s="7">
        <f t="shared" si="0"/>
        <v>0</v>
      </c>
      <c r="G20" s="3"/>
      <c r="H20" s="8">
        <v>691.15</v>
      </c>
      <c r="I20" s="3"/>
      <c r="J20" s="7">
        <f t="shared" si="1"/>
        <v>0</v>
      </c>
      <c r="K20" s="3"/>
      <c r="L20" s="8">
        <f t="shared" si="2"/>
        <v>27.409999999999968</v>
      </c>
      <c r="M20" s="3"/>
      <c r="N20" s="7">
        <f t="shared" si="3"/>
        <v>3.9658540114302206E-2</v>
      </c>
      <c r="O20" s="12"/>
      <c r="P20" s="8">
        <v>5993.44</v>
      </c>
      <c r="Q20" s="3"/>
      <c r="R20" s="7">
        <f t="shared" si="4"/>
        <v>0</v>
      </c>
      <c r="S20" s="3"/>
      <c r="T20" s="8">
        <v>6054.8</v>
      </c>
      <c r="U20" s="3"/>
      <c r="V20" s="7">
        <f t="shared" si="5"/>
        <v>0</v>
      </c>
      <c r="W20" s="3"/>
      <c r="X20" s="8">
        <f t="shared" si="6"/>
        <v>-61.360000000000582</v>
      </c>
      <c r="Y20" s="3"/>
      <c r="Z20" s="7">
        <f t="shared" si="7"/>
        <v>-1.0134108475920027E-2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338.15</v>
      </c>
      <c r="E21" s="3"/>
      <c r="F21" s="7">
        <f t="shared" si="0"/>
        <v>0</v>
      </c>
      <c r="G21" s="3"/>
      <c r="H21" s="8">
        <v>387.58</v>
      </c>
      <c r="I21" s="3"/>
      <c r="J21" s="7">
        <f t="shared" si="1"/>
        <v>0</v>
      </c>
      <c r="K21" s="3"/>
      <c r="L21" s="8">
        <f t="shared" si="2"/>
        <v>-49.430000000000007</v>
      </c>
      <c r="M21" s="3"/>
      <c r="N21" s="7">
        <f t="shared" si="3"/>
        <v>-0.12753496052427887</v>
      </c>
      <c r="O21" s="12"/>
      <c r="P21" s="8">
        <v>2812.14</v>
      </c>
      <c r="Q21" s="3"/>
      <c r="R21" s="7">
        <f t="shared" si="4"/>
        <v>0</v>
      </c>
      <c r="S21" s="3"/>
      <c r="T21" s="8">
        <v>3385.93</v>
      </c>
      <c r="U21" s="3"/>
      <c r="V21" s="7">
        <f t="shared" si="5"/>
        <v>0</v>
      </c>
      <c r="W21" s="3"/>
      <c r="X21" s="8">
        <f t="shared" si="6"/>
        <v>-573.79</v>
      </c>
      <c r="Y21" s="3"/>
      <c r="Z21" s="7">
        <f t="shared" si="7"/>
        <v>-0.16946304265002524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2467.5700000000002</v>
      </c>
      <c r="E22" s="3"/>
      <c r="F22" s="7">
        <f t="shared" si="0"/>
        <v>0</v>
      </c>
      <c r="G22" s="3"/>
      <c r="H22" s="8">
        <v>2691.73</v>
      </c>
      <c r="I22" s="3"/>
      <c r="J22" s="7">
        <f t="shared" si="1"/>
        <v>0</v>
      </c>
      <c r="K22" s="3"/>
      <c r="L22" s="8">
        <f t="shared" si="2"/>
        <v>-224.15999999999985</v>
      </c>
      <c r="M22" s="3"/>
      <c r="N22" s="7">
        <f t="shared" si="3"/>
        <v>-8.3277297500120681E-2</v>
      </c>
      <c r="O22" s="12"/>
      <c r="P22" s="8">
        <v>21074.27</v>
      </c>
      <c r="Q22" s="3"/>
      <c r="R22" s="7">
        <f t="shared" si="4"/>
        <v>0</v>
      </c>
      <c r="S22" s="3"/>
      <c r="T22" s="8">
        <v>21810.86</v>
      </c>
      <c r="U22" s="3"/>
      <c r="V22" s="7">
        <f t="shared" si="5"/>
        <v>0</v>
      </c>
      <c r="W22" s="3"/>
      <c r="X22" s="8">
        <f t="shared" si="6"/>
        <v>-736.59000000000015</v>
      </c>
      <c r="Y22" s="3"/>
      <c r="Z22" s="7">
        <f t="shared" si="7"/>
        <v>-3.3771708222417644E-2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24.42</v>
      </c>
      <c r="E23" s="3"/>
      <c r="F23" s="7">
        <f t="shared" si="0"/>
        <v>0</v>
      </c>
      <c r="G23" s="3"/>
      <c r="H23" s="8">
        <v>23.49</v>
      </c>
      <c r="I23" s="3"/>
      <c r="J23" s="7">
        <f t="shared" si="1"/>
        <v>0</v>
      </c>
      <c r="K23" s="3"/>
      <c r="L23" s="8">
        <f t="shared" si="2"/>
        <v>0.93000000000000327</v>
      </c>
      <c r="M23" s="3"/>
      <c r="N23" s="7">
        <f t="shared" si="3"/>
        <v>3.9591315453384561E-2</v>
      </c>
      <c r="O23" s="12"/>
      <c r="P23" s="8">
        <v>203.09</v>
      </c>
      <c r="Q23" s="3"/>
      <c r="R23" s="7">
        <f t="shared" si="4"/>
        <v>0</v>
      </c>
      <c r="S23" s="3"/>
      <c r="T23" s="8">
        <v>205.19</v>
      </c>
      <c r="U23" s="3"/>
      <c r="V23" s="7">
        <f t="shared" si="5"/>
        <v>0</v>
      </c>
      <c r="W23" s="3"/>
      <c r="X23" s="8">
        <f t="shared" si="6"/>
        <v>-2.0999999999999943</v>
      </c>
      <c r="Y23" s="3"/>
      <c r="Z23" s="7">
        <f t="shared" si="7"/>
        <v>-1.0234416881914296E-2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707.23</v>
      </c>
      <c r="E24" s="3"/>
      <c r="F24" s="7">
        <f t="shared" si="0"/>
        <v>0</v>
      </c>
      <c r="G24" s="3"/>
      <c r="H24" s="8">
        <v>692.57</v>
      </c>
      <c r="I24" s="3"/>
      <c r="J24" s="7">
        <f t="shared" si="1"/>
        <v>0</v>
      </c>
      <c r="K24" s="3"/>
      <c r="L24" s="8">
        <f t="shared" si="2"/>
        <v>14.659999999999968</v>
      </c>
      <c r="M24" s="3"/>
      <c r="N24" s="7">
        <f t="shared" si="3"/>
        <v>2.1167535411582897E-2</v>
      </c>
      <c r="O24" s="12"/>
      <c r="P24" s="8">
        <v>5889.05</v>
      </c>
      <c r="Q24" s="3"/>
      <c r="R24" s="7">
        <f t="shared" si="4"/>
        <v>0</v>
      </c>
      <c r="S24" s="3"/>
      <c r="T24" s="8">
        <v>6233.14</v>
      </c>
      <c r="U24" s="3"/>
      <c r="V24" s="7">
        <f t="shared" si="5"/>
        <v>0</v>
      </c>
      <c r="W24" s="3"/>
      <c r="X24" s="8">
        <f t="shared" si="6"/>
        <v>-344.09000000000015</v>
      </c>
      <c r="Y24" s="3"/>
      <c r="Z24" s="7">
        <f t="shared" si="7"/>
        <v>-5.5203316466500049E-2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860.74</v>
      </c>
      <c r="E25" s="3"/>
      <c r="F25" s="7">
        <f t="shared" si="0"/>
        <v>0</v>
      </c>
      <c r="G25" s="3"/>
      <c r="H25" s="8">
        <v>409.9</v>
      </c>
      <c r="I25" s="3"/>
      <c r="J25" s="7">
        <f t="shared" si="1"/>
        <v>0</v>
      </c>
      <c r="K25" s="3"/>
      <c r="L25" s="8">
        <f t="shared" si="2"/>
        <v>450.84000000000003</v>
      </c>
      <c r="M25" s="3"/>
      <c r="N25" s="7">
        <f t="shared" si="3"/>
        <v>1.0998780190290316</v>
      </c>
      <c r="O25" s="12"/>
      <c r="P25" s="8">
        <v>7661.48</v>
      </c>
      <c r="Q25" s="3"/>
      <c r="R25" s="7">
        <f t="shared" si="4"/>
        <v>0</v>
      </c>
      <c r="S25" s="3"/>
      <c r="T25" s="8">
        <v>5409.9</v>
      </c>
      <c r="U25" s="3"/>
      <c r="V25" s="7">
        <f t="shared" si="5"/>
        <v>0</v>
      </c>
      <c r="W25" s="3"/>
      <c r="X25" s="8">
        <f t="shared" si="6"/>
        <v>2251.58</v>
      </c>
      <c r="Y25" s="3"/>
      <c r="Z25" s="7">
        <f t="shared" si="7"/>
        <v>0.41619623283239987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429.78</v>
      </c>
      <c r="E26" s="3"/>
      <c r="F26" s="7">
        <f t="shared" si="0"/>
        <v>0</v>
      </c>
      <c r="G26" s="3"/>
      <c r="H26" s="8">
        <v>413.26</v>
      </c>
      <c r="I26" s="3"/>
      <c r="J26" s="7">
        <f t="shared" si="1"/>
        <v>0</v>
      </c>
      <c r="K26" s="3"/>
      <c r="L26" s="8">
        <f t="shared" si="2"/>
        <v>16.519999999999982</v>
      </c>
      <c r="M26" s="3"/>
      <c r="N26" s="7">
        <f t="shared" si="3"/>
        <v>3.9974834244785325E-2</v>
      </c>
      <c r="O26" s="12"/>
      <c r="P26" s="8">
        <v>4323.6400000000003</v>
      </c>
      <c r="Q26" s="3"/>
      <c r="R26" s="7">
        <f t="shared" si="4"/>
        <v>0</v>
      </c>
      <c r="S26" s="3"/>
      <c r="T26" s="8">
        <v>3512.71</v>
      </c>
      <c r="U26" s="3"/>
      <c r="V26" s="7">
        <f t="shared" si="5"/>
        <v>0</v>
      </c>
      <c r="W26" s="3"/>
      <c r="X26" s="8">
        <f t="shared" si="6"/>
        <v>810.93000000000029</v>
      </c>
      <c r="Y26" s="3"/>
      <c r="Z26" s="7">
        <f t="shared" si="7"/>
        <v>0.23085594882583541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92.69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92.69</v>
      </c>
      <c r="M27" s="3"/>
      <c r="N27" s="7">
        <f t="shared" si="3"/>
        <v>0</v>
      </c>
      <c r="O27" s="12"/>
      <c r="P27" s="8">
        <v>688.04</v>
      </c>
      <c r="Q27" s="3"/>
      <c r="R27" s="7">
        <f t="shared" si="4"/>
        <v>0</v>
      </c>
      <c r="S27" s="3"/>
      <c r="T27" s="8">
        <v>168</v>
      </c>
      <c r="U27" s="3"/>
      <c r="V27" s="7">
        <f t="shared" si="5"/>
        <v>0</v>
      </c>
      <c r="W27" s="3"/>
      <c r="X27" s="8">
        <f t="shared" si="6"/>
        <v>520.04</v>
      </c>
      <c r="Y27" s="3"/>
      <c r="Z27" s="7">
        <f t="shared" si="7"/>
        <v>3.09547619047619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9317.92</v>
      </c>
      <c r="E28" s="2"/>
      <c r="F28" s="6">
        <f t="shared" si="0"/>
        <v>0</v>
      </c>
      <c r="G28" s="2"/>
      <c r="H28" s="2">
        <f>SUM(OSRRefH22_1x_0)</f>
        <v>9034.5400000000009</v>
      </c>
      <c r="I28" s="2"/>
      <c r="J28" s="6">
        <f t="shared" si="1"/>
        <v>0</v>
      </c>
      <c r="K28" s="2"/>
      <c r="L28" s="2">
        <f t="shared" si="2"/>
        <v>283.3799999999992</v>
      </c>
      <c r="M28" s="2"/>
      <c r="N28" s="6">
        <f t="shared" si="3"/>
        <v>3.1366289816636951E-2</v>
      </c>
      <c r="O28" s="14"/>
      <c r="P28" s="2">
        <f>SUM(OSRRefP22_1x_0)</f>
        <v>74847.45</v>
      </c>
      <c r="Q28" s="2"/>
      <c r="R28" s="6">
        <f t="shared" si="4"/>
        <v>0</v>
      </c>
      <c r="S28" s="2"/>
      <c r="T28" s="2">
        <f>SUM(OSRRefT22_1x_0)</f>
        <v>73170.36</v>
      </c>
      <c r="U28" s="2"/>
      <c r="V28" s="6">
        <f t="shared" si="5"/>
        <v>0</v>
      </c>
      <c r="W28" s="2"/>
      <c r="X28" s="2">
        <f t="shared" si="6"/>
        <v>1677.0899999999965</v>
      </c>
      <c r="Y28" s="2"/>
      <c r="Z28" s="6">
        <f t="shared" si="7"/>
        <v>2.2920346435359843E-2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9317.92</v>
      </c>
      <c r="E29" s="3"/>
      <c r="F29" s="7">
        <f t="shared" si="0"/>
        <v>0</v>
      </c>
      <c r="G29" s="3"/>
      <c r="H29" s="8">
        <v>9034.5400000000009</v>
      </c>
      <c r="I29" s="3"/>
      <c r="J29" s="7">
        <f t="shared" si="1"/>
        <v>0</v>
      </c>
      <c r="K29" s="3"/>
      <c r="L29" s="8">
        <f t="shared" si="2"/>
        <v>283.3799999999992</v>
      </c>
      <c r="M29" s="3"/>
      <c r="N29" s="7">
        <f t="shared" si="3"/>
        <v>3.1366289816636951E-2</v>
      </c>
      <c r="O29" s="12"/>
      <c r="P29" s="8">
        <v>74847.45</v>
      </c>
      <c r="Q29" s="3"/>
      <c r="R29" s="7">
        <f t="shared" si="4"/>
        <v>0</v>
      </c>
      <c r="S29" s="3"/>
      <c r="T29" s="8">
        <v>73170.36</v>
      </c>
      <c r="U29" s="3"/>
      <c r="V29" s="7">
        <f t="shared" si="5"/>
        <v>0</v>
      </c>
      <c r="W29" s="3"/>
      <c r="X29" s="8">
        <f t="shared" si="6"/>
        <v>1677.0899999999965</v>
      </c>
      <c r="Y29" s="3"/>
      <c r="Z29" s="7">
        <f t="shared" si="7"/>
        <v>2.2920346435359843E-2</v>
      </c>
    </row>
    <row r="30" spans="1:26" s="68" customFormat="1" ht="15" customHeight="1" outlineLevel="1" collapsed="1" x14ac:dyDescent="0.3">
      <c r="A30" s="25"/>
      <c r="B30" s="14" t="str">
        <f>CONCATENATE("     ","Advertising/Promo                                 ")</f>
        <v xml:space="preserve">     Advertising/Promo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45</v>
      </c>
      <c r="Q30" s="2"/>
      <c r="R30" s="6">
        <f t="shared" si="4"/>
        <v>0</v>
      </c>
      <c r="S30" s="2"/>
      <c r="T30" s="2">
        <f>SUM(OSRRefT22_2x_0)</f>
        <v>0</v>
      </c>
      <c r="U30" s="2"/>
      <c r="V30" s="6">
        <f t="shared" si="5"/>
        <v>0</v>
      </c>
      <c r="W30" s="2"/>
      <c r="X30" s="2">
        <f t="shared" si="6"/>
        <v>45</v>
      </c>
      <c r="Y30" s="2"/>
      <c r="Z30" s="6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","6362"," - ","ADVERTISING EXPENSE")</f>
        <v xml:space="preserve">          6362 - ADVERTISING EXPENSE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45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45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","General                                           ")</f>
        <v xml:space="preserve">     General                                           </v>
      </c>
      <c r="C32" s="14"/>
      <c r="D32" s="2">
        <f>SUM(OSRRefD22_3x_0)</f>
        <v>360</v>
      </c>
      <c r="E32" s="2"/>
      <c r="F32" s="6">
        <f t="shared" si="0"/>
        <v>0</v>
      </c>
      <c r="G32" s="2"/>
      <c r="H32" s="2">
        <f>SUM(OSRRefH22_3x_0)</f>
        <v>0</v>
      </c>
      <c r="I32" s="2"/>
      <c r="J32" s="6">
        <f t="shared" si="1"/>
        <v>0</v>
      </c>
      <c r="K32" s="2"/>
      <c r="L32" s="2">
        <f t="shared" si="2"/>
        <v>360</v>
      </c>
      <c r="M32" s="2"/>
      <c r="N32" s="6">
        <f t="shared" si="3"/>
        <v>0</v>
      </c>
      <c r="O32" s="14"/>
      <c r="P32" s="2">
        <f>SUM(OSRRefP22_3x_0)</f>
        <v>530</v>
      </c>
      <c r="Q32" s="2"/>
      <c r="R32" s="6">
        <f t="shared" si="4"/>
        <v>0</v>
      </c>
      <c r="S32" s="2"/>
      <c r="T32" s="2">
        <f>SUM(OSRRefT22_3x_0)</f>
        <v>1.65</v>
      </c>
      <c r="U32" s="2"/>
      <c r="V32" s="6">
        <f t="shared" si="5"/>
        <v>0</v>
      </c>
      <c r="W32" s="2"/>
      <c r="X32" s="2">
        <f t="shared" si="6"/>
        <v>528.35</v>
      </c>
      <c r="Y32" s="2"/>
      <c r="Z32" s="6">
        <f t="shared" si="7"/>
        <v>320.21212121212125</v>
      </c>
    </row>
    <row r="33" spans="1:26" s="69" customFormat="1" ht="15" hidden="1" customHeight="1" outlineLevel="2" x14ac:dyDescent="0.3">
      <c r="A33" s="26"/>
      <c r="B33" s="12" t="str">
        <f>CONCATENATE("          ","6279"," - ","GENERAL EXPENSE")</f>
        <v xml:space="preserve">          6279 - GENERAL EXPENSE</v>
      </c>
      <c r="C33" s="12"/>
      <c r="D33" s="8">
        <v>360</v>
      </c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360</v>
      </c>
      <c r="M33" s="3"/>
      <c r="N33" s="7">
        <f t="shared" si="3"/>
        <v>0</v>
      </c>
      <c r="O33" s="12"/>
      <c r="P33" s="8">
        <v>530</v>
      </c>
      <c r="Q33" s="3"/>
      <c r="R33" s="7">
        <f t="shared" si="4"/>
        <v>0</v>
      </c>
      <c r="S33" s="3"/>
      <c r="T33" s="8">
        <v>1.65</v>
      </c>
      <c r="U33" s="3"/>
      <c r="V33" s="7">
        <f t="shared" si="5"/>
        <v>0</v>
      </c>
      <c r="W33" s="3"/>
      <c r="X33" s="8">
        <f t="shared" si="6"/>
        <v>528.35</v>
      </c>
      <c r="Y33" s="3"/>
      <c r="Z33" s="7">
        <f t="shared" si="7"/>
        <v>320.21212121212125</v>
      </c>
    </row>
    <row r="34" spans="1:26" s="68" customFormat="1" ht="15" customHeight="1" outlineLevel="1" collapsed="1" x14ac:dyDescent="0.3">
      <c r="A34" s="25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3500</v>
      </c>
      <c r="E34" s="2"/>
      <c r="F34" s="6">
        <f t="shared" si="0"/>
        <v>0</v>
      </c>
      <c r="G34" s="2"/>
      <c r="H34" s="2">
        <f>SUM(OSRRefH22_4x_0)</f>
        <v>3500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SUM(OSRRefP22_4x_0)</f>
        <v>28000</v>
      </c>
      <c r="Q34" s="2"/>
      <c r="R34" s="6">
        <f t="shared" si="4"/>
        <v>0</v>
      </c>
      <c r="S34" s="2"/>
      <c r="T34" s="2">
        <f>SUM(OSRRefT22_4x_0)</f>
        <v>10500</v>
      </c>
      <c r="U34" s="2"/>
      <c r="V34" s="6">
        <f t="shared" si="5"/>
        <v>0</v>
      </c>
      <c r="W34" s="2"/>
      <c r="X34" s="2">
        <f t="shared" si="6"/>
        <v>17500</v>
      </c>
      <c r="Y34" s="2"/>
      <c r="Z34" s="6">
        <f t="shared" si="7"/>
        <v>1.6666666666666667</v>
      </c>
    </row>
    <row r="35" spans="1:26" s="69" customFormat="1" ht="15" hidden="1" customHeight="1" outlineLevel="2" x14ac:dyDescent="0.3">
      <c r="A35" s="26"/>
      <c r="B35" s="12" t="str">
        <f>CONCATENATE("          ","6371"," - ","COMPUTER SOFTWARE MAINTENANCE")</f>
        <v xml:space="preserve">          6371 - COMPUTER SOFTWARE MAINTENANCE</v>
      </c>
      <c r="C35" s="12"/>
      <c r="D35" s="8">
        <v>3500</v>
      </c>
      <c r="E35" s="3"/>
      <c r="F35" s="7">
        <f t="shared" si="0"/>
        <v>0</v>
      </c>
      <c r="G35" s="3"/>
      <c r="H35" s="8">
        <v>3500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28000</v>
      </c>
      <c r="Q35" s="3"/>
      <c r="R35" s="7">
        <f t="shared" si="4"/>
        <v>0</v>
      </c>
      <c r="S35" s="3"/>
      <c r="T35" s="8">
        <v>10500</v>
      </c>
      <c r="U35" s="3"/>
      <c r="V35" s="7">
        <f t="shared" si="5"/>
        <v>0</v>
      </c>
      <c r="W35" s="3"/>
      <c r="X35" s="8">
        <f t="shared" si="6"/>
        <v>17500</v>
      </c>
      <c r="Y35" s="3"/>
      <c r="Z35" s="7">
        <f t="shared" si="7"/>
        <v>1.6666666666666667</v>
      </c>
    </row>
    <row r="36" spans="1:26" s="68" customFormat="1" ht="15" customHeight="1" outlineLevel="1" collapsed="1" x14ac:dyDescent="0.3">
      <c r="A36" s="25"/>
      <c r="B36" s="14" t="str">
        <f>CONCATENATE("     ","Supplies                                          ")</f>
        <v xml:space="preserve">     Supplies                                          </v>
      </c>
      <c r="C36" s="14"/>
      <c r="D36" s="2">
        <f>SUM(OSRRefD22_5x_0)</f>
        <v>18.489999999999998</v>
      </c>
      <c r="E36" s="2"/>
      <c r="F36" s="6">
        <f t="shared" si="0"/>
        <v>0</v>
      </c>
      <c r="G36" s="2"/>
      <c r="H36" s="2">
        <f>SUM(OSRRefH22_5x_0)</f>
        <v>0</v>
      </c>
      <c r="I36" s="2"/>
      <c r="J36" s="6">
        <f t="shared" si="1"/>
        <v>0</v>
      </c>
      <c r="K36" s="2"/>
      <c r="L36" s="2">
        <f t="shared" si="2"/>
        <v>18.489999999999998</v>
      </c>
      <c r="M36" s="2"/>
      <c r="N36" s="6">
        <f t="shared" si="3"/>
        <v>0</v>
      </c>
      <c r="O36" s="14"/>
      <c r="P36" s="2">
        <f>SUM(OSRRefP22_5x_0)</f>
        <v>2371.52</v>
      </c>
      <c r="Q36" s="2"/>
      <c r="R36" s="6">
        <f t="shared" si="4"/>
        <v>0</v>
      </c>
      <c r="S36" s="2"/>
      <c r="T36" s="2">
        <f>SUM(OSRRefT22_5x_0)</f>
        <v>4939.2</v>
      </c>
      <c r="U36" s="2"/>
      <c r="V36" s="6">
        <f t="shared" si="5"/>
        <v>0</v>
      </c>
      <c r="W36" s="2"/>
      <c r="X36" s="2">
        <f t="shared" si="6"/>
        <v>-2567.6799999999998</v>
      </c>
      <c r="Y36" s="2"/>
      <c r="Z36" s="6">
        <f t="shared" si="7"/>
        <v>-0.51985746679624234</v>
      </c>
    </row>
    <row r="37" spans="1:26" s="69" customFormat="1" ht="15" hidden="1" customHeight="1" outlineLevel="2" x14ac:dyDescent="0.3">
      <c r="A37" s="26"/>
      <c r="B37" s="12" t="str">
        <f>CONCATENATE("          ","6235"," - ","COVID-19 EXPENSES")</f>
        <v xml:space="preserve">          6235 - COVID-19 EXPENSES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4939.2</v>
      </c>
      <c r="U37" s="3"/>
      <c r="V37" s="7">
        <f t="shared" si="5"/>
        <v>0</v>
      </c>
      <c r="W37" s="3"/>
      <c r="X37" s="8">
        <f t="shared" si="6"/>
        <v>-4939.2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","6241"," - ","OFFICE EXPENSE")</f>
        <v xml:space="preserve">          6241 - OFFICE EXPENSE</v>
      </c>
      <c r="C38" s="12"/>
      <c r="D38" s="8">
        <v>18.489999999999998</v>
      </c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18.489999999999998</v>
      </c>
      <c r="M38" s="3"/>
      <c r="N38" s="7">
        <f t="shared" si="3"/>
        <v>0</v>
      </c>
      <c r="O38" s="12"/>
      <c r="P38" s="8">
        <v>2371.52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2371.52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","Telephone/Data Lines                              ")</f>
        <v xml:space="preserve">     Telephone/Data Lines                              </v>
      </c>
      <c r="C39" s="14"/>
      <c r="D39" s="2">
        <f>SUM(OSRRefD22_6x_0)</f>
        <v>75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75</v>
      </c>
      <c r="M39" s="2"/>
      <c r="N39" s="6">
        <f t="shared" si="3"/>
        <v>0</v>
      </c>
      <c r="O39" s="14"/>
      <c r="P39" s="2">
        <f>SUM(OSRRefP22_6x_0)</f>
        <v>583</v>
      </c>
      <c r="Q39" s="2"/>
      <c r="R39" s="6">
        <f t="shared" si="4"/>
        <v>0</v>
      </c>
      <c r="S39" s="2"/>
      <c r="T39" s="2">
        <f>SUM(OSRRefT22_6x_0)</f>
        <v>400</v>
      </c>
      <c r="U39" s="2"/>
      <c r="V39" s="6">
        <f t="shared" si="5"/>
        <v>0</v>
      </c>
      <c r="W39" s="2"/>
      <c r="X39" s="2">
        <f t="shared" si="6"/>
        <v>183</v>
      </c>
      <c r="Y39" s="2"/>
      <c r="Z39" s="6">
        <f t="shared" si="7"/>
        <v>0.45750000000000002</v>
      </c>
    </row>
    <row r="40" spans="1:26" s="69" customFormat="1" ht="15" hidden="1" customHeight="1" outlineLevel="2" x14ac:dyDescent="0.3">
      <c r="A40" s="26"/>
      <c r="B40" s="12" t="str">
        <f>CONCATENATE("          ","6309"," - ","TELEPHONE")</f>
        <v xml:space="preserve">          6309 - TELEPHONE</v>
      </c>
      <c r="C40" s="12"/>
      <c r="D40" s="8">
        <v>75</v>
      </c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75</v>
      </c>
      <c r="M40" s="3"/>
      <c r="N40" s="7">
        <f t="shared" si="3"/>
        <v>0</v>
      </c>
      <c r="O40" s="12"/>
      <c r="P40" s="8">
        <v>583</v>
      </c>
      <c r="Q40" s="3"/>
      <c r="R40" s="7">
        <f t="shared" si="4"/>
        <v>0</v>
      </c>
      <c r="S40" s="3"/>
      <c r="T40" s="8">
        <v>400</v>
      </c>
      <c r="U40" s="3"/>
      <c r="V40" s="7">
        <f t="shared" si="5"/>
        <v>0</v>
      </c>
      <c r="W40" s="3"/>
      <c r="X40" s="8">
        <f t="shared" si="6"/>
        <v>183</v>
      </c>
      <c r="Y40" s="3"/>
      <c r="Z40" s="7">
        <f t="shared" si="7"/>
        <v>0.45750000000000002</v>
      </c>
    </row>
    <row r="41" spans="1:26" s="68" customFormat="1" ht="15" customHeight="1" outlineLevel="1" collapsed="1" x14ac:dyDescent="0.3">
      <c r="A41" s="25"/>
      <c r="B41" s="14" t="str">
        <f>CONCATENATE("     ","Training                                          ")</f>
        <v xml:space="preserve">     Training                                          </v>
      </c>
      <c r="C41" s="14"/>
      <c r="D41" s="2">
        <f>SUM(OSRRefD22_7x_0)</f>
        <v>4000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4000</v>
      </c>
      <c r="M41" s="2"/>
      <c r="N41" s="6">
        <f t="shared" si="3"/>
        <v>0</v>
      </c>
      <c r="O41" s="14"/>
      <c r="P41" s="2">
        <f>SUM(OSRRefP22_7x_0)</f>
        <v>5148.87</v>
      </c>
      <c r="Q41" s="2"/>
      <c r="R41" s="6">
        <f t="shared" si="4"/>
        <v>0</v>
      </c>
      <c r="S41" s="2"/>
      <c r="T41" s="2">
        <f>SUM(OSRRefT22_7x_0)</f>
        <v>0</v>
      </c>
      <c r="U41" s="2"/>
      <c r="V41" s="6">
        <f t="shared" si="5"/>
        <v>0</v>
      </c>
      <c r="W41" s="2"/>
      <c r="X41" s="2">
        <f t="shared" si="6"/>
        <v>5148.87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","6376"," - ","TRAINING")</f>
        <v xml:space="preserve">          6376 - TRAINING</v>
      </c>
      <c r="C42" s="12"/>
      <c r="D42" s="8">
        <v>4000</v>
      </c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4000</v>
      </c>
      <c r="M42" s="3"/>
      <c r="N42" s="7">
        <f t="shared" si="3"/>
        <v>0</v>
      </c>
      <c r="O42" s="12"/>
      <c r="P42" s="8">
        <v>5148.87</v>
      </c>
      <c r="Q42" s="3"/>
      <c r="R42" s="7">
        <f t="shared" si="4"/>
        <v>0</v>
      </c>
      <c r="S42" s="3"/>
      <c r="T42" s="8"/>
      <c r="U42" s="3"/>
      <c r="V42" s="7">
        <f t="shared" si="5"/>
        <v>0</v>
      </c>
      <c r="W42" s="3"/>
      <c r="X42" s="8">
        <f t="shared" si="6"/>
        <v>5148.87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","Travel                                            ")</f>
        <v xml:space="preserve">     Travel                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595</v>
      </c>
      <c r="Q43" s="2"/>
      <c r="R43" s="6">
        <f t="shared" si="4"/>
        <v>0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595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","6292"," - ","TRAVEL/CONFERENCE")</f>
        <v xml:space="preserve">          6292 - TRAVEL/CONFERENCE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595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595</v>
      </c>
      <c r="Y44" s="3"/>
      <c r="Z44" s="7">
        <f t="shared" si="7"/>
        <v>0</v>
      </c>
    </row>
    <row r="45" spans="1:26" s="64" customFormat="1" ht="15" customHeight="1" x14ac:dyDescent="0.3">
      <c r="A45" s="36"/>
      <c r="B45" s="36"/>
      <c r="C45" s="36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3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62" customFormat="1" ht="15" customHeight="1" x14ac:dyDescent="0.3">
      <c r="A46" s="11"/>
      <c r="B46" s="27" t="s">
        <v>290</v>
      </c>
      <c r="C46" s="11"/>
      <c r="D46" s="5">
        <f>SUM(0)</f>
        <v>0</v>
      </c>
      <c r="E46" s="5"/>
      <c r="F46" s="13">
        <f>IF(D$12=0,0,D46/D$12)</f>
        <v>0</v>
      </c>
      <c r="G46" s="5"/>
      <c r="H46" s="5">
        <f>SUM(0)</f>
        <v>0</v>
      </c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>
        <f>SUM(0)</f>
        <v>0</v>
      </c>
      <c r="Q46" s="5"/>
      <c r="R46" s="13">
        <f>IF(P$12=0,0,P46/P$12)</f>
        <v>0</v>
      </c>
      <c r="S46" s="5"/>
      <c r="T46" s="5">
        <f>SUM(0)</f>
        <v>0</v>
      </c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291</v>
      </c>
      <c r="C48" s="28"/>
      <c r="D48" s="23">
        <f>+D16-D18+D46</f>
        <v>-22910.55</v>
      </c>
      <c r="E48" s="15"/>
      <c r="F48" s="22">
        <f>IF(D$12=0,0,D48/D$12)</f>
        <v>0</v>
      </c>
      <c r="G48" s="15"/>
      <c r="H48" s="23">
        <f>+H16-H18+H46</f>
        <v>-17844.22</v>
      </c>
      <c r="I48" s="15"/>
      <c r="J48" s="22">
        <f>IF(H$12=0,0,H48/H$12)</f>
        <v>0</v>
      </c>
      <c r="K48" s="17"/>
      <c r="L48" s="23">
        <f>+D48-H48</f>
        <v>-5066.3299999999981</v>
      </c>
      <c r="M48" s="17"/>
      <c r="N48" s="22">
        <f>IF(H48=0,0,L48/H48)</f>
        <v>0.28391994718738045</v>
      </c>
      <c r="O48" s="27"/>
      <c r="P48" s="23">
        <f>+P16-P18+P46</f>
        <v>-160765.99</v>
      </c>
      <c r="Q48" s="15"/>
      <c r="R48" s="22">
        <f>IF(P$12=0,0,P48/P$12)</f>
        <v>0</v>
      </c>
      <c r="S48" s="15"/>
      <c r="T48" s="23">
        <f>+T16-T18+T46</f>
        <v>-135791.74</v>
      </c>
      <c r="U48" s="15"/>
      <c r="V48" s="22">
        <f>IF(T$12=0,0,T48/T$12)</f>
        <v>0</v>
      </c>
      <c r="W48" s="17"/>
      <c r="X48" s="23">
        <f>+P48-T48</f>
        <v>-24974.25</v>
      </c>
      <c r="Y48" s="17"/>
      <c r="Z48" s="22">
        <f>IF(T48=0,0,X48/T48)</f>
        <v>0.18391582580796154</v>
      </c>
    </row>
    <row r="49" spans="1:26" ht="15" customHeight="1" x14ac:dyDescent="0.3">
      <c r="A49" s="10"/>
      <c r="B49" s="11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48"/>
      <c r="B50" s="11" t="s">
        <v>292</v>
      </c>
      <c r="C50" s="11"/>
      <c r="D50" s="5"/>
      <c r="E50" s="5"/>
      <c r="F50" s="13">
        <f>IF(D$12=0,0,D50/D$12)</f>
        <v>0</v>
      </c>
      <c r="G50" s="5"/>
      <c r="H50" s="5"/>
      <c r="I50" s="5"/>
      <c r="J50" s="13">
        <f>IF(H$12=0,0,H50/H$12)</f>
        <v>0</v>
      </c>
      <c r="K50" s="5"/>
      <c r="L50" s="5">
        <f>+D50-H50</f>
        <v>0</v>
      </c>
      <c r="M50" s="5"/>
      <c r="N50" s="13">
        <f>IF(H50=0,0,L50/H50)</f>
        <v>0</v>
      </c>
      <c r="O50" s="11"/>
      <c r="P50" s="5"/>
      <c r="Q50" s="5"/>
      <c r="R50" s="13">
        <f>IF(P$12=0,0,P50/P$12)</f>
        <v>0</v>
      </c>
      <c r="S50" s="5"/>
      <c r="T50" s="5"/>
      <c r="U50" s="5"/>
      <c r="V50" s="13">
        <f>IF(T$12=0,0,T50/T$12)</f>
        <v>0</v>
      </c>
      <c r="W50" s="5"/>
      <c r="X50" s="5">
        <f>+P50-T50</f>
        <v>0</v>
      </c>
      <c r="Y50" s="5"/>
      <c r="Z50" s="13">
        <f>IF(T50=0,0,X50/T50)</f>
        <v>0</v>
      </c>
    </row>
    <row r="51" spans="1:26" ht="15" customHeight="1" x14ac:dyDescent="0.3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11"/>
      <c r="B52" s="28" t="s">
        <v>293</v>
      </c>
      <c r="C52" s="28"/>
      <c r="D52" s="33">
        <f>+D48-D50</f>
        <v>-22910.55</v>
      </c>
      <c r="E52" s="15"/>
      <c r="F52" s="34">
        <f>IF(D$12=0,0,D52/D$12)</f>
        <v>0</v>
      </c>
      <c r="G52" s="15"/>
      <c r="H52" s="33">
        <f>+H48-H50</f>
        <v>-17844.22</v>
      </c>
      <c r="I52" s="15"/>
      <c r="J52" s="34">
        <f>IF(H$12=0,0,H52/H$12)</f>
        <v>0</v>
      </c>
      <c r="K52" s="17"/>
      <c r="L52" s="33">
        <f>D52-H52</f>
        <v>-5066.3299999999981</v>
      </c>
      <c r="M52" s="17"/>
      <c r="N52" s="34">
        <f>IF(H52=0,0,L52/H52)</f>
        <v>0.28391994718738045</v>
      </c>
      <c r="O52" s="27"/>
      <c r="P52" s="33">
        <f>+P48-P50</f>
        <v>-160765.99</v>
      </c>
      <c r="Q52" s="15"/>
      <c r="R52" s="34">
        <f>IF(P$12=0,0,P52/P$12)</f>
        <v>0</v>
      </c>
      <c r="S52" s="15"/>
      <c r="T52" s="33">
        <f>+T48-T50</f>
        <v>-135791.74</v>
      </c>
      <c r="U52" s="15"/>
      <c r="V52" s="34">
        <f>IF(T$12=0,0,T52/T$12)</f>
        <v>0</v>
      </c>
      <c r="W52" s="17"/>
      <c r="X52" s="33">
        <f>P52-T52</f>
        <v>-24974.25</v>
      </c>
      <c r="Y52" s="17"/>
      <c r="Z52" s="34">
        <f>IF(T52=0,0,X52/T52)</f>
        <v>0.18391582580796154</v>
      </c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ht="15" customHeight="1" x14ac:dyDescent="0.3">
      <c r="A54" s="10"/>
      <c r="B54" s="10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2" customFormat="1" ht="15" customHeight="1" x14ac:dyDescent="0.3">
      <c r="A55" s="11"/>
      <c r="B55" s="28" t="s">
        <v>296</v>
      </c>
      <c r="C55" s="28"/>
      <c r="D55" s="35">
        <f>SUM(D52:D54)</f>
        <v>-22910.55</v>
      </c>
      <c r="E55" s="15"/>
      <c r="F55" s="29">
        <f>IF(D$12=0,0,D55/D$12)</f>
        <v>0</v>
      </c>
      <c r="G55" s="15"/>
      <c r="H55" s="35">
        <f>SUM(H52:H54)</f>
        <v>-17844.22</v>
      </c>
      <c r="I55" s="15"/>
      <c r="J55" s="29">
        <f>IF(H$12=0,0,H55/H$12)</f>
        <v>0</v>
      </c>
      <c r="K55" s="17"/>
      <c r="L55" s="35">
        <f>+D55-H55</f>
        <v>-5066.3299999999981</v>
      </c>
      <c r="M55" s="17"/>
      <c r="N55" s="29">
        <f>IF(H55=0,0,L55/H55)</f>
        <v>0.28391994718738045</v>
      </c>
      <c r="O55" s="27"/>
      <c r="P55" s="35">
        <f>SUM(P52:P54)</f>
        <v>-160765.99</v>
      </c>
      <c r="Q55" s="15"/>
      <c r="R55" s="29">
        <f>IF(P$12=0,0,P55/P$12)</f>
        <v>0</v>
      </c>
      <c r="S55" s="15"/>
      <c r="T55" s="35">
        <f>SUM(T52:T54)</f>
        <v>-135791.74</v>
      </c>
      <c r="U55" s="15"/>
      <c r="V55" s="29">
        <f>IF(T$12=0,0,T55/T$12)</f>
        <v>0</v>
      </c>
      <c r="W55" s="17"/>
      <c r="X55" s="35">
        <f>+P55-T55</f>
        <v>-24974.25</v>
      </c>
      <c r="Y55" s="17"/>
      <c r="Z55" s="29">
        <f>IF(T55=0,0,X55/T55)</f>
        <v>0.18391582580796154</v>
      </c>
    </row>
    <row r="56" spans="1:26" ht="15" customHeight="1" x14ac:dyDescent="0.3">
      <c r="A56" s="10"/>
      <c r="C56" s="10"/>
      <c r="D56" s="18"/>
      <c r="E56" s="18"/>
      <c r="G56" s="18"/>
      <c r="H56" s="18"/>
      <c r="I56" s="18"/>
      <c r="J56" s="41"/>
      <c r="K56" s="18"/>
      <c r="L56" s="18"/>
      <c r="M56" s="18"/>
      <c r="P56" s="18"/>
      <c r="Q56" s="18"/>
      <c r="R56" s="41"/>
      <c r="S56" s="18"/>
      <c r="T56" s="18"/>
      <c r="U56" s="18"/>
      <c r="V56" s="41"/>
      <c r="W56" s="18"/>
      <c r="X56" s="18"/>
    </row>
    <row r="57" spans="1:26" ht="15" customHeight="1" x14ac:dyDescent="0.3">
      <c r="A57" s="10"/>
      <c r="B57" s="50">
        <v>44634.887810300927</v>
      </c>
      <c r="D57" s="18"/>
      <c r="E57" s="18"/>
      <c r="G57" s="18"/>
      <c r="H57" s="18"/>
      <c r="I57" s="18"/>
      <c r="J57" s="41"/>
      <c r="K57" s="18"/>
      <c r="L57" s="18"/>
      <c r="M57" s="18"/>
      <c r="P57" s="18"/>
      <c r="Q57" s="18"/>
      <c r="R57" s="41"/>
      <c r="S57" s="18"/>
      <c r="T57" s="18"/>
      <c r="U57" s="18"/>
      <c r="V57" s="41"/>
      <c r="W57" s="18"/>
      <c r="X57" s="18"/>
    </row>
    <row r="58" spans="1:26" ht="15" customHeight="1" x14ac:dyDescent="0.3">
      <c r="A58" s="10"/>
      <c r="B58" s="58" t="s">
        <v>297</v>
      </c>
      <c r="D58" s="18"/>
      <c r="E58" s="18"/>
      <c r="G58" s="18"/>
      <c r="H58" s="18"/>
      <c r="I58" s="18"/>
      <c r="J58" s="41"/>
      <c r="K58" s="18"/>
      <c r="L58" s="18"/>
      <c r="M58" s="18"/>
      <c r="P58" s="18"/>
      <c r="Q58" s="18"/>
      <c r="R58" s="41"/>
      <c r="S58" s="18"/>
      <c r="T58" s="18"/>
      <c r="U58" s="18"/>
      <c r="V58" s="41"/>
      <c r="W58" s="18"/>
      <c r="X58" s="18"/>
    </row>
    <row r="59" spans="1:26" ht="15" customHeight="1" x14ac:dyDescent="0.3">
      <c r="A59" s="10"/>
      <c r="B59" s="56"/>
      <c r="D59" s="18"/>
      <c r="E59" s="18"/>
      <c r="G59" s="18"/>
      <c r="H59" s="18"/>
      <c r="I59" s="18"/>
      <c r="J59" s="41"/>
      <c r="K59" s="18"/>
      <c r="L59" s="18"/>
      <c r="M59" s="18"/>
      <c r="P59" s="18"/>
      <c r="Q59" s="18"/>
      <c r="R59" s="41"/>
      <c r="S59" s="18"/>
      <c r="T59" s="18"/>
      <c r="U59" s="18"/>
      <c r="V59" s="41"/>
      <c r="W59" s="18"/>
      <c r="X59" s="18"/>
    </row>
    <row r="60" spans="1:26" ht="15" customHeight="1" x14ac:dyDescent="0.3">
      <c r="D60" s="18"/>
      <c r="E60" s="18"/>
      <c r="G60" s="18"/>
      <c r="H60" s="18"/>
      <c r="I60" s="18"/>
      <c r="J60" s="41"/>
      <c r="K60" s="18"/>
      <c r="L60" s="18"/>
      <c r="M60" s="18"/>
      <c r="P60" s="18"/>
      <c r="Q60" s="18"/>
      <c r="R60" s="41"/>
      <c r="S60" s="18"/>
      <c r="T60" s="18"/>
      <c r="U60" s="18"/>
      <c r="V60" s="41"/>
      <c r="W60" s="18"/>
      <c r="X60" s="18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50EC8-900B-9009-DB71-3A1CE2C5AE75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299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74343-6329-E8D8-2309-CC841BD62E1D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","433"," - ","Hillside Dining Hall")</f>
        <v>Department 433 - Hillside Dining Hall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457105.72000000003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457105.72000000003</v>
      </c>
      <c r="M12" s="5"/>
      <c r="N12" s="13">
        <f>IF(H12=0,0,L12/H12)</f>
        <v>0</v>
      </c>
      <c r="O12" s="11"/>
      <c r="P12" s="5">
        <f>SUM(OSRRefP13x_0)</f>
        <v>2697368.1500000004</v>
      </c>
      <c r="Q12" s="5"/>
      <c r="R12" s="13"/>
      <c r="S12" s="5"/>
      <c r="T12" s="5">
        <f>SUM(OSRRefT13x_0)</f>
        <v>23641.919999999998</v>
      </c>
      <c r="U12" s="5"/>
      <c r="V12" s="13"/>
      <c r="W12" s="5"/>
      <c r="X12" s="5">
        <f>+P12-T12</f>
        <v>2673726.2300000004</v>
      </c>
      <c r="Y12" s="5"/>
      <c r="Z12" s="13">
        <f>IF(T12=0,0,X12/T12)</f>
        <v>113.09260119313494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--264.59</f>
        <v>264.58999999999997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264.58999999999997</v>
      </c>
      <c r="M13" s="3"/>
      <c r="N13" s="20">
        <f>IF(H13=0,0,L13/H13)</f>
        <v>0</v>
      </c>
      <c r="O13" s="12"/>
      <c r="P13" s="3">
        <f>--2119.7</f>
        <v>2119.6999999999998</v>
      </c>
      <c r="Q13" s="3"/>
      <c r="R13" s="20"/>
      <c r="S13" s="3"/>
      <c r="T13" s="3">
        <f>--217.65</f>
        <v>217.65</v>
      </c>
      <c r="U13" s="3"/>
      <c r="V13" s="20"/>
      <c r="W13" s="3"/>
      <c r="X13" s="3">
        <f>+P13-T13</f>
        <v>1902.0499999999997</v>
      </c>
      <c r="Y13" s="3"/>
      <c r="Z13" s="20">
        <f>IF(T13=0,0,X13/T13)</f>
        <v>8.7390305536411663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--441676.98</f>
        <v>441676.98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441676.98</v>
      </c>
      <c r="M14" s="3"/>
      <c r="N14" s="20">
        <f>IF(H14=0,0,L14/H14)</f>
        <v>0</v>
      </c>
      <c r="O14" s="12"/>
      <c r="P14" s="3">
        <f>--2638368.41</f>
        <v>2638368.41</v>
      </c>
      <c r="Q14" s="3"/>
      <c r="R14" s="20"/>
      <c r="S14" s="3"/>
      <c r="T14" s="3">
        <f>--16096</f>
        <v>16096</v>
      </c>
      <c r="U14" s="3"/>
      <c r="V14" s="20"/>
      <c r="W14" s="3"/>
      <c r="X14" s="3">
        <f>+P14-T14</f>
        <v>2622272.41</v>
      </c>
      <c r="Y14" s="3"/>
      <c r="Z14" s="20">
        <f>IF(T14=0,0,X14/T14)</f>
        <v>162.91453839463222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--15164.15</f>
        <v>15164.15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15164.15</v>
      </c>
      <c r="M15" s="3"/>
      <c r="N15" s="20">
        <f>IF(H15=0,0,L15/H15)</f>
        <v>0</v>
      </c>
      <c r="O15" s="12"/>
      <c r="P15" s="3">
        <f>--56880.04</f>
        <v>56880.04</v>
      </c>
      <c r="Q15" s="3"/>
      <c r="R15" s="20"/>
      <c r="S15" s="3"/>
      <c r="T15" s="3">
        <f>--7328.27</f>
        <v>7328.27</v>
      </c>
      <c r="U15" s="3"/>
      <c r="V15" s="20"/>
      <c r="W15" s="3"/>
      <c r="X15" s="3">
        <f>+P15-T15</f>
        <v>49551.770000000004</v>
      </c>
      <c r="Y15" s="3"/>
      <c r="Z15" s="20">
        <f>IF(T15=0,0,X15/T15)</f>
        <v>6.7617282114332582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105179.09</v>
      </c>
      <c r="E17" s="5"/>
      <c r="F17" s="13">
        <f>IF(D$12=0,0,D17/D$12)</f>
        <v>0.23009795195737212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105179.09</v>
      </c>
      <c r="M17" s="5"/>
      <c r="N17" s="13">
        <f>IF(H17=0,0,L17/H17)</f>
        <v>0</v>
      </c>
      <c r="O17" s="11"/>
      <c r="P17" s="5">
        <f>SUM(OSRRefP16x_0)</f>
        <v>672357.56</v>
      </c>
      <c r="Q17" s="5"/>
      <c r="R17" s="13">
        <f>IF(P$12=0,0,P17/P$12)</f>
        <v>0.24926429119436291</v>
      </c>
      <c r="S17" s="5"/>
      <c r="T17" s="5">
        <f>SUM(OSRRefT16x_0)</f>
        <v>25322.92</v>
      </c>
      <c r="U17" s="5"/>
      <c r="V17" s="13">
        <f>IF(T$12=0,0,T17/T$12)</f>
        <v>1.0711025162084975</v>
      </c>
      <c r="W17" s="5"/>
      <c r="X17" s="5">
        <f>+P17-T17</f>
        <v>647034.64</v>
      </c>
      <c r="Y17" s="5"/>
      <c r="Z17" s="13">
        <f>IF(T17=0,0,X17/T17)</f>
        <v>25.551343999823086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108401.09</v>
      </c>
      <c r="E18" s="3"/>
      <c r="F18" s="20">
        <f>IF(D$12=0,0,D18/D$12)</f>
        <v>0.23714664957594489</v>
      </c>
      <c r="G18" s="3"/>
      <c r="H18" s="3"/>
      <c r="I18" s="3"/>
      <c r="J18" s="20">
        <f>IF(H$12=0,0,H18/H$12)</f>
        <v>0</v>
      </c>
      <c r="K18" s="3"/>
      <c r="L18" s="3">
        <f>+D18-H18</f>
        <v>108401.09</v>
      </c>
      <c r="M18" s="3"/>
      <c r="N18" s="20">
        <f>IF(H18=0,0,L18/H18)</f>
        <v>0</v>
      </c>
      <c r="O18" s="12"/>
      <c r="P18" s="3">
        <v>696765.56</v>
      </c>
      <c r="Q18" s="3"/>
      <c r="R18" s="20">
        <f>IF(P$12=0,0,P18/P$12)</f>
        <v>0.25831311161585413</v>
      </c>
      <c r="S18" s="3"/>
      <c r="T18" s="3">
        <v>14410.92</v>
      </c>
      <c r="U18" s="3"/>
      <c r="V18" s="20">
        <f>IF(T$12=0,0,T18/T$12)</f>
        <v>0.60954947821496741</v>
      </c>
      <c r="W18" s="3"/>
      <c r="X18" s="3">
        <f>+P18-T18</f>
        <v>682354.64</v>
      </c>
      <c r="Y18" s="3"/>
      <c r="Z18" s="20">
        <f>IF(T18=0,0,X18/T18)</f>
        <v>47.349831933006357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-3222</v>
      </c>
      <c r="E19" s="3"/>
      <c r="F19" s="20">
        <f>IF(D$12=0,0,D19/D$12)</f>
        <v>-7.0486976185727881E-3</v>
      </c>
      <c r="G19" s="3"/>
      <c r="H19" s="3"/>
      <c r="I19" s="3"/>
      <c r="J19" s="20">
        <f>IF(H$12=0,0,H19/H$12)</f>
        <v>0</v>
      </c>
      <c r="K19" s="3"/>
      <c r="L19" s="3">
        <f>+D19-H19</f>
        <v>-3222</v>
      </c>
      <c r="M19" s="3"/>
      <c r="N19" s="20">
        <f>IF(H19=0,0,L19/H19)</f>
        <v>0</v>
      </c>
      <c r="O19" s="12"/>
      <c r="P19" s="3">
        <v>-24408</v>
      </c>
      <c r="Q19" s="3"/>
      <c r="R19" s="20">
        <f>IF(P$12=0,0,P19/P$12)</f>
        <v>-9.0488204214912212E-3</v>
      </c>
      <c r="S19" s="3"/>
      <c r="T19" s="3">
        <v>10912</v>
      </c>
      <c r="U19" s="3"/>
      <c r="V19" s="20">
        <f>IF(T$12=0,0,T19/T$12)</f>
        <v>0.46155303799353015</v>
      </c>
      <c r="W19" s="3"/>
      <c r="X19" s="3">
        <f>+P19-T19</f>
        <v>-35320</v>
      </c>
      <c r="Y19" s="3"/>
      <c r="Z19" s="20">
        <f>IF(T19=0,0,X19/T19)</f>
        <v>-3.2368035190615836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3">
        <f>D12-D17</f>
        <v>351926.63</v>
      </c>
      <c r="E21" s="15"/>
      <c r="F21" s="22">
        <f>IF(D$12=0,0,D21/D$12)</f>
        <v>0.76990204804262785</v>
      </c>
      <c r="G21" s="15"/>
      <c r="H21" s="23">
        <f>H12-H17</f>
        <v>0</v>
      </c>
      <c r="I21" s="15"/>
      <c r="J21" s="22">
        <f>IF(H$12=0,0,H21/H$12)</f>
        <v>0</v>
      </c>
      <c r="K21" s="17"/>
      <c r="L21" s="23">
        <f>+D21-H21</f>
        <v>351926.63</v>
      </c>
      <c r="M21" s="17"/>
      <c r="N21" s="22">
        <f>IF(H21=0,0,L21/H21)</f>
        <v>0</v>
      </c>
      <c r="O21" s="27"/>
      <c r="P21" s="23">
        <f>P12-P17</f>
        <v>2025010.5900000003</v>
      </c>
      <c r="Q21" s="15"/>
      <c r="R21" s="22">
        <f>IF(P$12=0,0,P21/P$12)</f>
        <v>0.75073570880563711</v>
      </c>
      <c r="S21" s="15"/>
      <c r="T21" s="23">
        <f>T12-T17</f>
        <v>-1681</v>
      </c>
      <c r="U21" s="15"/>
      <c r="V21" s="22">
        <f>IF(T$12=0,0,T21/T$12)</f>
        <v>-7.110251620849746E-2</v>
      </c>
      <c r="W21" s="17"/>
      <c r="X21" s="23">
        <f>+P21-T21</f>
        <v>2026691.5900000003</v>
      </c>
      <c r="Y21" s="17"/>
      <c r="Z21" s="22">
        <f>IF(T21=0,0,X21/T21)</f>
        <v>-1205.6463950029747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1" cm="1">
        <f t="array" ref="D23">SUM(OSRRefD22x_0)</f>
        <v>159838.86999999997</v>
      </c>
      <c r="E23" s="21"/>
      <c r="F23" s="30">
        <f t="shared" ref="F23:F54" si="0">IF(D$12=0,0,D23/D$12)</f>
        <v>0.34967593492376325</v>
      </c>
      <c r="G23" s="21"/>
      <c r="H23" s="21" cm="1">
        <f t="array" ref="H23">SUM(OSRRefH22x_0)</f>
        <v>46306.989999999991</v>
      </c>
      <c r="I23" s="21"/>
      <c r="J23" s="30">
        <f t="shared" ref="J23:J54" si="1">IF(H$12=0,0,H23/H$12)</f>
        <v>0</v>
      </c>
      <c r="K23" s="5"/>
      <c r="L23" s="21">
        <f t="shared" ref="L23:L54" si="2">+D23-H23</f>
        <v>113531.87999999998</v>
      </c>
      <c r="M23" s="5"/>
      <c r="N23" s="30">
        <f t="shared" ref="N23:N54" si="3">IF(H23=0,0,L23/H23)</f>
        <v>2.4517222993764007</v>
      </c>
      <c r="O23" s="11"/>
      <c r="P23" s="21" cm="1">
        <f t="array" ref="P23">SUM(OSRRefP22x_0)</f>
        <v>1088035.0399999998</v>
      </c>
      <c r="Q23" s="21"/>
      <c r="R23" s="30">
        <f t="shared" ref="R23:R54" si="4">IF(P$12=0,0,P23/P$12)</f>
        <v>0.40336912853367818</v>
      </c>
      <c r="S23" s="21"/>
      <c r="T23" s="21" cm="1">
        <f t="array" ref="T23">SUM(OSRRefT22x_0)</f>
        <v>414616.77999999997</v>
      </c>
      <c r="U23" s="21"/>
      <c r="V23" s="30">
        <f t="shared" ref="V23:V54" si="5">IF(T$12=0,0,T23/T$12)</f>
        <v>17.537356526035111</v>
      </c>
      <c r="W23" s="5"/>
      <c r="X23" s="21">
        <f t="shared" ref="X23:X54" si="6">+P23-T23</f>
        <v>673418.25999999978</v>
      </c>
      <c r="Y23" s="5"/>
      <c r="Z23" s="30">
        <f t="shared" ref="Z23:Z54" si="7">IF(T23=0,0,X23/T23)</f>
        <v>1.6241944187594139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26309.539999999997</v>
      </c>
      <c r="E24" s="2"/>
      <c r="F24" s="6">
        <f t="shared" si="0"/>
        <v>5.7556794520094816E-2</v>
      </c>
      <c r="G24" s="2"/>
      <c r="H24" s="2">
        <f>SUM(OSRRefH22_0x_0)</f>
        <v>20319.529999999995</v>
      </c>
      <c r="I24" s="2"/>
      <c r="J24" s="6">
        <f t="shared" si="1"/>
        <v>0</v>
      </c>
      <c r="K24" s="2"/>
      <c r="L24" s="2">
        <f t="shared" si="2"/>
        <v>5990.010000000002</v>
      </c>
      <c r="M24" s="2"/>
      <c r="N24" s="6">
        <f t="shared" si="3"/>
        <v>0.29479077518033159</v>
      </c>
      <c r="O24" s="14"/>
      <c r="P24" s="2">
        <f>SUM(OSRRefP22_0x_0)</f>
        <v>211739.08000000005</v>
      </c>
      <c r="Q24" s="2"/>
      <c r="R24" s="6">
        <f t="shared" si="4"/>
        <v>7.8498398522278107E-2</v>
      </c>
      <c r="S24" s="2"/>
      <c r="T24" s="2">
        <f>SUM(OSRRefT22_0x_0)</f>
        <v>166930.31999999998</v>
      </c>
      <c r="U24" s="2"/>
      <c r="V24" s="6">
        <f t="shared" si="5"/>
        <v>7.0607767897023592</v>
      </c>
      <c r="W24" s="2"/>
      <c r="X24" s="2">
        <f t="shared" si="6"/>
        <v>44808.760000000068</v>
      </c>
      <c r="Y24" s="2"/>
      <c r="Z24" s="6">
        <f t="shared" si="7"/>
        <v>0.26842792849136138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3459.82</v>
      </c>
      <c r="E25" s="3"/>
      <c r="F25" s="7">
        <f t="shared" si="0"/>
        <v>7.5689711342925223E-3</v>
      </c>
      <c r="G25" s="3"/>
      <c r="H25" s="8">
        <v>1785.8</v>
      </c>
      <c r="I25" s="3"/>
      <c r="J25" s="7">
        <f t="shared" si="1"/>
        <v>0</v>
      </c>
      <c r="K25" s="3"/>
      <c r="L25" s="8">
        <f t="shared" si="2"/>
        <v>1674.0200000000002</v>
      </c>
      <c r="M25" s="3"/>
      <c r="N25" s="7">
        <f t="shared" si="3"/>
        <v>0.93740620450218404</v>
      </c>
      <c r="O25" s="12"/>
      <c r="P25" s="8">
        <v>26546.6</v>
      </c>
      <c r="Q25" s="3"/>
      <c r="R25" s="7">
        <f t="shared" si="4"/>
        <v>9.8416673304309588E-3</v>
      </c>
      <c r="S25" s="3"/>
      <c r="T25" s="8">
        <v>16132.17</v>
      </c>
      <c r="U25" s="3"/>
      <c r="V25" s="7">
        <f t="shared" si="5"/>
        <v>0.68235447882405498</v>
      </c>
      <c r="W25" s="3"/>
      <c r="X25" s="8">
        <f t="shared" si="6"/>
        <v>10414.429999999998</v>
      </c>
      <c r="Y25" s="3"/>
      <c r="Z25" s="7">
        <f t="shared" si="7"/>
        <v>0.64556907099292893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2815.73</v>
      </c>
      <c r="E26" s="3"/>
      <c r="F26" s="7">
        <f t="shared" si="0"/>
        <v>6.1599097906716192E-3</v>
      </c>
      <c r="G26" s="3"/>
      <c r="H26" s="8">
        <v>997.82</v>
      </c>
      <c r="I26" s="3"/>
      <c r="J26" s="7">
        <f t="shared" si="1"/>
        <v>0</v>
      </c>
      <c r="K26" s="3"/>
      <c r="L26" s="8">
        <f t="shared" si="2"/>
        <v>1817.9099999999999</v>
      </c>
      <c r="M26" s="3"/>
      <c r="N26" s="7">
        <f t="shared" si="3"/>
        <v>1.8218817021106009</v>
      </c>
      <c r="O26" s="12"/>
      <c r="P26" s="8">
        <v>16762.93</v>
      </c>
      <c r="Q26" s="3"/>
      <c r="R26" s="7">
        <f t="shared" si="4"/>
        <v>6.2145502830231007E-3</v>
      </c>
      <c r="S26" s="3"/>
      <c r="T26" s="8">
        <v>9164.16</v>
      </c>
      <c r="U26" s="3"/>
      <c r="V26" s="7">
        <f t="shared" si="5"/>
        <v>0.387623340236326</v>
      </c>
      <c r="W26" s="3"/>
      <c r="X26" s="8">
        <f t="shared" si="6"/>
        <v>7598.77</v>
      </c>
      <c r="Y26" s="3"/>
      <c r="Z26" s="7">
        <f t="shared" si="7"/>
        <v>0.82918347126195968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14440.86</v>
      </c>
      <c r="E27" s="3"/>
      <c r="F27" s="7">
        <f t="shared" si="0"/>
        <v>3.1591947700851344E-2</v>
      </c>
      <c r="G27" s="3"/>
      <c r="H27" s="8">
        <v>12552.45</v>
      </c>
      <c r="I27" s="3"/>
      <c r="J27" s="7">
        <f t="shared" si="1"/>
        <v>0</v>
      </c>
      <c r="K27" s="3"/>
      <c r="L27" s="8">
        <f t="shared" si="2"/>
        <v>1888.4099999999999</v>
      </c>
      <c r="M27" s="3"/>
      <c r="N27" s="7">
        <f t="shared" si="3"/>
        <v>0.15044154726766487</v>
      </c>
      <c r="O27" s="12"/>
      <c r="P27" s="8">
        <v>108409.92</v>
      </c>
      <c r="Q27" s="3"/>
      <c r="R27" s="7">
        <f t="shared" si="4"/>
        <v>4.0190998770412552E-2</v>
      </c>
      <c r="S27" s="3"/>
      <c r="T27" s="8">
        <v>97564.03</v>
      </c>
      <c r="U27" s="3"/>
      <c r="V27" s="7">
        <f t="shared" si="5"/>
        <v>4.1267388604648021</v>
      </c>
      <c r="W27" s="3"/>
      <c r="X27" s="8">
        <f t="shared" si="6"/>
        <v>10845.89</v>
      </c>
      <c r="Y27" s="3"/>
      <c r="Z27" s="7">
        <f t="shared" si="7"/>
        <v>0.11116689214252425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203.35</v>
      </c>
      <c r="E28" s="3"/>
      <c r="F28" s="7">
        <f t="shared" si="0"/>
        <v>4.4486426466070031E-4</v>
      </c>
      <c r="G28" s="3"/>
      <c r="H28" s="8">
        <v>60.47</v>
      </c>
      <c r="I28" s="3"/>
      <c r="J28" s="7">
        <f t="shared" si="1"/>
        <v>0</v>
      </c>
      <c r="K28" s="3"/>
      <c r="L28" s="8">
        <f t="shared" si="2"/>
        <v>142.88</v>
      </c>
      <c r="M28" s="3"/>
      <c r="N28" s="7">
        <f t="shared" si="3"/>
        <v>2.3628245410947577</v>
      </c>
      <c r="O28" s="12"/>
      <c r="P28" s="8">
        <v>1210.6600000000001</v>
      </c>
      <c r="Q28" s="3"/>
      <c r="R28" s="7">
        <f t="shared" si="4"/>
        <v>4.4883009388243866E-4</v>
      </c>
      <c r="S28" s="3"/>
      <c r="T28" s="8">
        <v>555.4</v>
      </c>
      <c r="U28" s="3"/>
      <c r="V28" s="7">
        <f t="shared" si="5"/>
        <v>2.3492169840689758E-2</v>
      </c>
      <c r="W28" s="3"/>
      <c r="X28" s="8">
        <f t="shared" si="6"/>
        <v>655.2600000000001</v>
      </c>
      <c r="Y28" s="3"/>
      <c r="Z28" s="7">
        <f t="shared" si="7"/>
        <v>1.1797983435361903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806.64</v>
      </c>
      <c r="E29" s="3"/>
      <c r="F29" s="7">
        <f t="shared" si="0"/>
        <v>1.7646683572456717E-3</v>
      </c>
      <c r="G29" s="3"/>
      <c r="H29" s="8">
        <v>950.04</v>
      </c>
      <c r="I29" s="3"/>
      <c r="J29" s="7">
        <f t="shared" si="1"/>
        <v>0</v>
      </c>
      <c r="K29" s="3"/>
      <c r="L29" s="8">
        <f t="shared" si="2"/>
        <v>-143.39999999999998</v>
      </c>
      <c r="M29" s="3"/>
      <c r="N29" s="7">
        <f t="shared" si="3"/>
        <v>-0.1509410130099785</v>
      </c>
      <c r="O29" s="12"/>
      <c r="P29" s="8">
        <v>9940.11</v>
      </c>
      <c r="Q29" s="3"/>
      <c r="R29" s="7">
        <f t="shared" si="4"/>
        <v>3.6851143215285609E-3</v>
      </c>
      <c r="S29" s="3"/>
      <c r="T29" s="8">
        <v>8630.7900000000009</v>
      </c>
      <c r="U29" s="3"/>
      <c r="V29" s="7">
        <f t="shared" si="5"/>
        <v>0.36506298980793445</v>
      </c>
      <c r="W29" s="3"/>
      <c r="X29" s="8">
        <f t="shared" si="6"/>
        <v>1309.3199999999997</v>
      </c>
      <c r="Y29" s="3"/>
      <c r="Z29" s="7">
        <f t="shared" si="7"/>
        <v>0.15170337825390254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557.12</v>
      </c>
      <c r="E30" s="3"/>
      <c r="F30" s="7">
        <f t="shared" si="0"/>
        <v>1.2187990121847523E-3</v>
      </c>
      <c r="G30" s="3"/>
      <c r="H30" s="8">
        <v>353.46</v>
      </c>
      <c r="I30" s="3"/>
      <c r="J30" s="7">
        <f t="shared" si="1"/>
        <v>0</v>
      </c>
      <c r="K30" s="3"/>
      <c r="L30" s="8">
        <f t="shared" si="2"/>
        <v>203.66000000000003</v>
      </c>
      <c r="M30" s="3"/>
      <c r="N30" s="7">
        <f t="shared" si="3"/>
        <v>0.57618966785491998</v>
      </c>
      <c r="O30" s="12"/>
      <c r="P30" s="8">
        <v>4203.43</v>
      </c>
      <c r="Q30" s="3"/>
      <c r="R30" s="7">
        <f t="shared" si="4"/>
        <v>1.5583449370824667E-3</v>
      </c>
      <c r="S30" s="3"/>
      <c r="T30" s="8">
        <v>3099.84</v>
      </c>
      <c r="U30" s="3"/>
      <c r="V30" s="7">
        <f t="shared" si="5"/>
        <v>0.13111625451739961</v>
      </c>
      <c r="W30" s="3"/>
      <c r="X30" s="8">
        <f t="shared" si="6"/>
        <v>1103.5900000000001</v>
      </c>
      <c r="Y30" s="3"/>
      <c r="Z30" s="7">
        <f t="shared" si="7"/>
        <v>0.35601514916898941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1485.91</v>
      </c>
      <c r="E31" s="3"/>
      <c r="F31" s="7">
        <f t="shared" si="0"/>
        <v>3.2506922031078499E-3</v>
      </c>
      <c r="G31" s="3"/>
      <c r="H31" s="8">
        <v>1575.8</v>
      </c>
      <c r="I31" s="3"/>
      <c r="J31" s="7">
        <f t="shared" si="1"/>
        <v>0</v>
      </c>
      <c r="K31" s="3"/>
      <c r="L31" s="8">
        <f t="shared" si="2"/>
        <v>-89.889999999999873</v>
      </c>
      <c r="M31" s="3"/>
      <c r="N31" s="7">
        <f t="shared" si="3"/>
        <v>-5.7044041121969716E-2</v>
      </c>
      <c r="O31" s="12"/>
      <c r="P31" s="8">
        <v>18952.62</v>
      </c>
      <c r="Q31" s="3"/>
      <c r="R31" s="7">
        <f t="shared" si="4"/>
        <v>7.0263378767929756E-3</v>
      </c>
      <c r="S31" s="3"/>
      <c r="T31" s="8">
        <v>15291.48</v>
      </c>
      <c r="U31" s="3"/>
      <c r="V31" s="7">
        <f t="shared" si="5"/>
        <v>0.64679518414748038</v>
      </c>
      <c r="W31" s="3"/>
      <c r="X31" s="8">
        <f t="shared" si="6"/>
        <v>3661.1399999999994</v>
      </c>
      <c r="Y31" s="3"/>
      <c r="Z31" s="7">
        <f t="shared" si="7"/>
        <v>0.23942352211819912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1429.52</v>
      </c>
      <c r="E32" s="3"/>
      <c r="F32" s="7">
        <f t="shared" si="0"/>
        <v>3.1273290563942186E-3</v>
      </c>
      <c r="G32" s="3"/>
      <c r="H32" s="8">
        <v>1152.05</v>
      </c>
      <c r="I32" s="3"/>
      <c r="J32" s="7">
        <f t="shared" si="1"/>
        <v>0</v>
      </c>
      <c r="K32" s="3"/>
      <c r="L32" s="8">
        <f t="shared" si="2"/>
        <v>277.47000000000003</v>
      </c>
      <c r="M32" s="3"/>
      <c r="N32" s="7">
        <f t="shared" si="3"/>
        <v>0.24084892148778267</v>
      </c>
      <c r="O32" s="12"/>
      <c r="P32" s="8">
        <v>16749.580000000002</v>
      </c>
      <c r="Q32" s="3"/>
      <c r="R32" s="7">
        <f t="shared" si="4"/>
        <v>6.2096010142330777E-3</v>
      </c>
      <c r="S32" s="3"/>
      <c r="T32" s="8">
        <v>10126.74</v>
      </c>
      <c r="U32" s="3"/>
      <c r="V32" s="7">
        <f t="shared" si="5"/>
        <v>0.42833830754862551</v>
      </c>
      <c r="W32" s="3"/>
      <c r="X32" s="8">
        <f t="shared" si="6"/>
        <v>6622.840000000002</v>
      </c>
      <c r="Y32" s="3"/>
      <c r="Z32" s="7">
        <f t="shared" si="7"/>
        <v>0.65399526402376307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1110.5899999999999</v>
      </c>
      <c r="E33" s="3"/>
      <c r="F33" s="7">
        <f t="shared" si="0"/>
        <v>2.4296130006861427E-3</v>
      </c>
      <c r="G33" s="3"/>
      <c r="H33" s="8">
        <v>891.64</v>
      </c>
      <c r="I33" s="3"/>
      <c r="J33" s="7">
        <f t="shared" si="1"/>
        <v>0</v>
      </c>
      <c r="K33" s="3"/>
      <c r="L33" s="8">
        <f t="shared" si="2"/>
        <v>218.94999999999993</v>
      </c>
      <c r="M33" s="3"/>
      <c r="N33" s="7">
        <f t="shared" si="3"/>
        <v>0.24555874568211378</v>
      </c>
      <c r="O33" s="12"/>
      <c r="P33" s="8">
        <v>8963.23</v>
      </c>
      <c r="Q33" s="3"/>
      <c r="R33" s="7">
        <f t="shared" si="4"/>
        <v>3.3229538948919518E-3</v>
      </c>
      <c r="S33" s="3"/>
      <c r="T33" s="8">
        <v>6365.71</v>
      </c>
      <c r="U33" s="3"/>
      <c r="V33" s="7">
        <f t="shared" si="5"/>
        <v>0.26925520431504718</v>
      </c>
      <c r="W33" s="3"/>
      <c r="X33" s="8">
        <f t="shared" si="6"/>
        <v>2597.5199999999995</v>
      </c>
      <c r="Y33" s="3"/>
      <c r="Z33" s="7">
        <f t="shared" si="7"/>
        <v>0.40804874868632085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81249.38</v>
      </c>
      <c r="E34" s="2"/>
      <c r="F34" s="6">
        <f t="shared" si="0"/>
        <v>0.17774745850916063</v>
      </c>
      <c r="G34" s="2"/>
      <c r="H34" s="2">
        <f>SUM(OSRRefH22_1x_0)</f>
        <v>20656.62</v>
      </c>
      <c r="I34" s="2"/>
      <c r="J34" s="6">
        <f t="shared" si="1"/>
        <v>0</v>
      </c>
      <c r="K34" s="2"/>
      <c r="L34" s="2">
        <f t="shared" si="2"/>
        <v>60592.760000000009</v>
      </c>
      <c r="M34" s="2"/>
      <c r="N34" s="6">
        <f t="shared" si="3"/>
        <v>2.9333337206183785</v>
      </c>
      <c r="O34" s="14"/>
      <c r="P34" s="2">
        <f>SUM(OSRRefP22_1x_0)</f>
        <v>519866.82</v>
      </c>
      <c r="Q34" s="2"/>
      <c r="R34" s="6">
        <f t="shared" si="4"/>
        <v>0.19273113312322604</v>
      </c>
      <c r="S34" s="2"/>
      <c r="T34" s="2">
        <f>SUM(OSRRefT22_1x_0)</f>
        <v>179480.73</v>
      </c>
      <c r="U34" s="2"/>
      <c r="V34" s="6">
        <f t="shared" si="5"/>
        <v>7.5916308827709438</v>
      </c>
      <c r="W34" s="2"/>
      <c r="X34" s="2">
        <f t="shared" si="6"/>
        <v>340386.08999999997</v>
      </c>
      <c r="Y34" s="2"/>
      <c r="Z34" s="6">
        <f t="shared" si="7"/>
        <v>1.8965049339837203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8028.65</v>
      </c>
      <c r="E35" s="3"/>
      <c r="F35" s="7">
        <f t="shared" si="0"/>
        <v>1.7564098738471264E-2</v>
      </c>
      <c r="G35" s="3"/>
      <c r="H35" s="8">
        <v>9455.32</v>
      </c>
      <c r="I35" s="3"/>
      <c r="J35" s="7">
        <f t="shared" si="1"/>
        <v>0</v>
      </c>
      <c r="K35" s="3"/>
      <c r="L35" s="8">
        <f t="shared" si="2"/>
        <v>-1426.67</v>
      </c>
      <c r="M35" s="3"/>
      <c r="N35" s="7">
        <f t="shared" si="3"/>
        <v>-0.15088542746305786</v>
      </c>
      <c r="O35" s="12"/>
      <c r="P35" s="8">
        <v>104241.5</v>
      </c>
      <c r="Q35" s="3"/>
      <c r="R35" s="7">
        <f t="shared" si="4"/>
        <v>3.864563315170752E-2</v>
      </c>
      <c r="S35" s="3"/>
      <c r="T35" s="8">
        <v>73806.070000000007</v>
      </c>
      <c r="U35" s="3"/>
      <c r="V35" s="7">
        <f t="shared" si="5"/>
        <v>3.1218306296612126</v>
      </c>
      <c r="W35" s="3"/>
      <c r="X35" s="8">
        <f t="shared" si="6"/>
        <v>30435.429999999993</v>
      </c>
      <c r="Y35" s="3"/>
      <c r="Z35" s="7">
        <f t="shared" si="7"/>
        <v>0.41237028336558212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34826.129999999997</v>
      </c>
      <c r="E36" s="3"/>
      <c r="F36" s="7">
        <f t="shared" si="0"/>
        <v>7.6188348725979613E-2</v>
      </c>
      <c r="G36" s="3"/>
      <c r="H36" s="8">
        <v>11458.3</v>
      </c>
      <c r="I36" s="3"/>
      <c r="J36" s="7">
        <f t="shared" si="1"/>
        <v>0</v>
      </c>
      <c r="K36" s="3"/>
      <c r="L36" s="8">
        <f t="shared" si="2"/>
        <v>23367.829999999998</v>
      </c>
      <c r="M36" s="3"/>
      <c r="N36" s="7">
        <f t="shared" si="3"/>
        <v>2.0393801872878177</v>
      </c>
      <c r="O36" s="12"/>
      <c r="P36" s="8">
        <v>185867</v>
      </c>
      <c r="Q36" s="3"/>
      <c r="R36" s="7">
        <f t="shared" si="4"/>
        <v>6.8906797168195213E-2</v>
      </c>
      <c r="S36" s="3"/>
      <c r="T36" s="8">
        <v>103331.66</v>
      </c>
      <c r="U36" s="3"/>
      <c r="V36" s="7">
        <f t="shared" si="5"/>
        <v>4.3706966270082974</v>
      </c>
      <c r="W36" s="3"/>
      <c r="X36" s="8">
        <f t="shared" si="6"/>
        <v>82535.34</v>
      </c>
      <c r="Y36" s="3"/>
      <c r="Z36" s="7">
        <f t="shared" si="7"/>
        <v>0.79874203124192522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6773.04</v>
      </c>
      <c r="E37" s="3"/>
      <c r="F37" s="7">
        <f t="shared" si="0"/>
        <v>1.4817228714617704E-2</v>
      </c>
      <c r="G37" s="3"/>
      <c r="H37" s="8"/>
      <c r="I37" s="3"/>
      <c r="J37" s="7">
        <f t="shared" si="1"/>
        <v>0</v>
      </c>
      <c r="K37" s="3"/>
      <c r="L37" s="8">
        <f t="shared" si="2"/>
        <v>6773.04</v>
      </c>
      <c r="M37" s="3"/>
      <c r="N37" s="7">
        <f t="shared" si="3"/>
        <v>0</v>
      </c>
      <c r="O37" s="12"/>
      <c r="P37" s="8">
        <v>86716.27</v>
      </c>
      <c r="Q37" s="3"/>
      <c r="R37" s="7">
        <f t="shared" si="4"/>
        <v>3.2148474059797878E-2</v>
      </c>
      <c r="S37" s="3"/>
      <c r="T37" s="8"/>
      <c r="U37" s="3"/>
      <c r="V37" s="7">
        <f t="shared" si="5"/>
        <v>0</v>
      </c>
      <c r="W37" s="3"/>
      <c r="X37" s="8">
        <f t="shared" si="6"/>
        <v>86716.27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10335.65</v>
      </c>
      <c r="E38" s="3"/>
      <c r="F38" s="7">
        <f t="shared" si="0"/>
        <v>2.261107124190001E-2</v>
      </c>
      <c r="G38" s="3"/>
      <c r="H38" s="8">
        <v>-257</v>
      </c>
      <c r="I38" s="3"/>
      <c r="J38" s="7">
        <f t="shared" si="1"/>
        <v>0</v>
      </c>
      <c r="K38" s="3"/>
      <c r="L38" s="8">
        <f t="shared" si="2"/>
        <v>10592.65</v>
      </c>
      <c r="M38" s="3"/>
      <c r="N38" s="7">
        <f t="shared" si="3"/>
        <v>-41.216536964980541</v>
      </c>
      <c r="O38" s="12"/>
      <c r="P38" s="8">
        <v>102034.5</v>
      </c>
      <c r="Q38" s="3"/>
      <c r="R38" s="7">
        <f t="shared" si="4"/>
        <v>3.7827428191439118E-2</v>
      </c>
      <c r="S38" s="3"/>
      <c r="T38" s="8">
        <v>2343</v>
      </c>
      <c r="U38" s="3"/>
      <c r="V38" s="7">
        <f t="shared" si="5"/>
        <v>9.910362610143339E-2</v>
      </c>
      <c r="W38" s="3"/>
      <c r="X38" s="8">
        <f t="shared" si="6"/>
        <v>99691.5</v>
      </c>
      <c r="Y38" s="3"/>
      <c r="Z38" s="7">
        <f t="shared" si="7"/>
        <v>42.548655569782333</v>
      </c>
    </row>
    <row r="39" spans="1:26" s="69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>
        <v>21285.91</v>
      </c>
      <c r="E39" s="3"/>
      <c r="F39" s="7">
        <f t="shared" si="0"/>
        <v>4.6566711088192027E-2</v>
      </c>
      <c r="G39" s="3"/>
      <c r="H39" s="8"/>
      <c r="I39" s="3"/>
      <c r="J39" s="7">
        <f t="shared" si="1"/>
        <v>0</v>
      </c>
      <c r="K39" s="3"/>
      <c r="L39" s="8">
        <f t="shared" si="2"/>
        <v>21285.91</v>
      </c>
      <c r="M39" s="3"/>
      <c r="N39" s="7">
        <f t="shared" si="3"/>
        <v>0</v>
      </c>
      <c r="O39" s="12"/>
      <c r="P39" s="8">
        <v>41007.550000000003</v>
      </c>
      <c r="Q39" s="3"/>
      <c r="R39" s="7">
        <f t="shared" si="4"/>
        <v>1.5202800552086298E-2</v>
      </c>
      <c r="S39" s="3"/>
      <c r="T39" s="8"/>
      <c r="U39" s="3"/>
      <c r="V39" s="7">
        <f t="shared" si="5"/>
        <v>0</v>
      </c>
      <c r="W39" s="3"/>
      <c r="X39" s="8">
        <f t="shared" si="6"/>
        <v>41007.550000000003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1284.6300000000001</v>
      </c>
      <c r="Q40" s="2"/>
      <c r="R40" s="6">
        <f t="shared" si="4"/>
        <v>4.762531210283624E-4</v>
      </c>
      <c r="S40" s="2"/>
      <c r="T40" s="2">
        <f>SUM(OSRRefT22_2x_0)</f>
        <v>204.75</v>
      </c>
      <c r="U40" s="2"/>
      <c r="V40" s="6">
        <f t="shared" si="5"/>
        <v>8.660464124741139E-3</v>
      </c>
      <c r="W40" s="2"/>
      <c r="X40" s="2">
        <f t="shared" si="6"/>
        <v>1079.8800000000001</v>
      </c>
      <c r="Y40" s="2"/>
      <c r="Z40" s="6">
        <f t="shared" si="7"/>
        <v>5.2741391941391944</v>
      </c>
    </row>
    <row r="41" spans="1:26" s="69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1284.6300000000001</v>
      </c>
      <c r="Q41" s="3"/>
      <c r="R41" s="7">
        <f t="shared" si="4"/>
        <v>4.762531210283624E-4</v>
      </c>
      <c r="S41" s="3"/>
      <c r="T41" s="8">
        <v>204.75</v>
      </c>
      <c r="U41" s="3"/>
      <c r="V41" s="7">
        <f t="shared" si="5"/>
        <v>8.660464124741139E-3</v>
      </c>
      <c r="W41" s="3"/>
      <c r="X41" s="8">
        <f t="shared" si="6"/>
        <v>1079.8800000000001</v>
      </c>
      <c r="Y41" s="3"/>
      <c r="Z41" s="7">
        <f t="shared" si="7"/>
        <v>5.2741391941391944</v>
      </c>
    </row>
    <row r="42" spans="1:26" s="68" customFormat="1" ht="15" customHeight="1" outlineLevel="1" collapsed="1" x14ac:dyDescent="0.3">
      <c r="A42" s="25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-23.9</v>
      </c>
      <c r="Q42" s="2"/>
      <c r="R42" s="6">
        <f t="shared" si="4"/>
        <v>-8.8604886952491068E-6</v>
      </c>
      <c r="S42" s="2"/>
      <c r="T42" s="2">
        <f>SUM(OSRRefT22_3x_0)</f>
        <v>0</v>
      </c>
      <c r="U42" s="2"/>
      <c r="V42" s="6">
        <f t="shared" si="5"/>
        <v>0</v>
      </c>
      <c r="W42" s="2"/>
      <c r="X42" s="2">
        <f t="shared" si="6"/>
        <v>-23.9</v>
      </c>
      <c r="Y42" s="2"/>
      <c r="Z42" s="6">
        <f t="shared" si="7"/>
        <v>0</v>
      </c>
    </row>
    <row r="43" spans="1:26" s="69" customFormat="1" ht="15" hidden="1" customHeight="1" outlineLevel="2" x14ac:dyDescent="0.3">
      <c r="A43" s="26"/>
      <c r="B43" s="12" t="str">
        <f>CONCATENATE("          ","6272"," - ","CASH (OVER/SHORT)")</f>
        <v xml:space="preserve">          6272 - CASH (OVER/SHORT)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-23.9</v>
      </c>
      <c r="Q43" s="3"/>
      <c r="R43" s="7">
        <f t="shared" si="4"/>
        <v>-8.8604886952491068E-6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-23.9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72.959999999999994</v>
      </c>
      <c r="E44" s="2"/>
      <c r="F44" s="6">
        <f t="shared" si="0"/>
        <v>1.5961296655837075E-4</v>
      </c>
      <c r="G44" s="2"/>
      <c r="H44" s="2">
        <f>SUM(OSRRefH22_4x_0)</f>
        <v>0</v>
      </c>
      <c r="I44" s="2"/>
      <c r="J44" s="6">
        <f t="shared" si="1"/>
        <v>0</v>
      </c>
      <c r="K44" s="2"/>
      <c r="L44" s="2">
        <f t="shared" si="2"/>
        <v>72.959999999999994</v>
      </c>
      <c r="M44" s="2"/>
      <c r="N44" s="6">
        <f t="shared" si="3"/>
        <v>0</v>
      </c>
      <c r="O44" s="14"/>
      <c r="P44" s="2">
        <f>SUM(OSRRefP22_4x_0)</f>
        <v>347.93</v>
      </c>
      <c r="Q44" s="2"/>
      <c r="R44" s="6">
        <f t="shared" si="4"/>
        <v>1.2898869588862016E-4</v>
      </c>
      <c r="S44" s="2"/>
      <c r="T44" s="2">
        <f>SUM(OSRRefT22_4x_0)</f>
        <v>0</v>
      </c>
      <c r="U44" s="2"/>
      <c r="V44" s="6">
        <f t="shared" si="5"/>
        <v>0</v>
      </c>
      <c r="W44" s="2"/>
      <c r="X44" s="2">
        <f t="shared" si="6"/>
        <v>347.93</v>
      </c>
      <c r="Y44" s="2"/>
      <c r="Z44" s="6">
        <f t="shared" si="7"/>
        <v>0</v>
      </c>
    </row>
    <row r="45" spans="1:26" s="69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72.959999999999994</v>
      </c>
      <c r="E45" s="3"/>
      <c r="F45" s="7">
        <f t="shared" si="0"/>
        <v>1.5961296655837075E-4</v>
      </c>
      <c r="G45" s="3"/>
      <c r="H45" s="8"/>
      <c r="I45" s="3"/>
      <c r="J45" s="7">
        <f t="shared" si="1"/>
        <v>0</v>
      </c>
      <c r="K45" s="3"/>
      <c r="L45" s="8">
        <f t="shared" si="2"/>
        <v>72.959999999999994</v>
      </c>
      <c r="M45" s="3"/>
      <c r="N45" s="7">
        <f t="shared" si="3"/>
        <v>0</v>
      </c>
      <c r="O45" s="12"/>
      <c r="P45" s="8">
        <v>347.93</v>
      </c>
      <c r="Q45" s="3"/>
      <c r="R45" s="7">
        <f t="shared" si="4"/>
        <v>1.2898869588862016E-4</v>
      </c>
      <c r="S45" s="3"/>
      <c r="T45" s="8"/>
      <c r="U45" s="3"/>
      <c r="V45" s="7">
        <f t="shared" si="5"/>
        <v>0</v>
      </c>
      <c r="W45" s="3"/>
      <c r="X45" s="8">
        <f t="shared" si="6"/>
        <v>347.93</v>
      </c>
      <c r="Y45" s="3"/>
      <c r="Z45" s="7">
        <f t="shared" si="7"/>
        <v>0</v>
      </c>
    </row>
    <row r="46" spans="1:26" s="68" customFormat="1" ht="15" customHeight="1" outlineLevel="1" collapsed="1" x14ac:dyDescent="0.3">
      <c r="A46" s="25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273.51</v>
      </c>
      <c r="E46" s="2"/>
      <c r="F46" s="6">
        <f t="shared" si="0"/>
        <v>5.9835173359895817E-4</v>
      </c>
      <c r="G46" s="2"/>
      <c r="H46" s="2">
        <f>SUM(OSRRefH22_5x_0)</f>
        <v>272.74</v>
      </c>
      <c r="I46" s="2"/>
      <c r="J46" s="6">
        <f t="shared" si="1"/>
        <v>0</v>
      </c>
      <c r="K46" s="2"/>
      <c r="L46" s="2">
        <f t="shared" si="2"/>
        <v>0.76999999999998181</v>
      </c>
      <c r="M46" s="2"/>
      <c r="N46" s="6">
        <f t="shared" si="3"/>
        <v>2.8232015839260165E-3</v>
      </c>
      <c r="O46" s="14"/>
      <c r="P46" s="2">
        <f>SUM(OSRRefP22_5x_0)</f>
        <v>2188.08</v>
      </c>
      <c r="Q46" s="2"/>
      <c r="R46" s="6">
        <f t="shared" si="4"/>
        <v>8.111907156611157E-4</v>
      </c>
      <c r="S46" s="2"/>
      <c r="T46" s="2">
        <f>SUM(OSRRefT22_5x_0)</f>
        <v>1917.7</v>
      </c>
      <c r="U46" s="2"/>
      <c r="V46" s="6">
        <f t="shared" si="5"/>
        <v>8.1114393416439959E-2</v>
      </c>
      <c r="W46" s="2"/>
      <c r="X46" s="2">
        <f t="shared" si="6"/>
        <v>270.37999999999988</v>
      </c>
      <c r="Y46" s="2"/>
      <c r="Z46" s="6">
        <f t="shared" si="7"/>
        <v>0.14099181310945397</v>
      </c>
    </row>
    <row r="47" spans="1:26" s="69" customFormat="1" ht="15" hidden="1" customHeight="1" outlineLevel="2" x14ac:dyDescent="0.3">
      <c r="A47" s="26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273.51</v>
      </c>
      <c r="E47" s="3"/>
      <c r="F47" s="7">
        <f t="shared" si="0"/>
        <v>5.9835173359895817E-4</v>
      </c>
      <c r="G47" s="3"/>
      <c r="H47" s="8">
        <v>272.74</v>
      </c>
      <c r="I47" s="3"/>
      <c r="J47" s="7">
        <f t="shared" si="1"/>
        <v>0</v>
      </c>
      <c r="K47" s="3"/>
      <c r="L47" s="8">
        <f t="shared" si="2"/>
        <v>0.76999999999998181</v>
      </c>
      <c r="M47" s="3"/>
      <c r="N47" s="7">
        <f t="shared" si="3"/>
        <v>2.8232015839260165E-3</v>
      </c>
      <c r="O47" s="12"/>
      <c r="P47" s="8">
        <v>2188.08</v>
      </c>
      <c r="Q47" s="3"/>
      <c r="R47" s="7">
        <f t="shared" si="4"/>
        <v>8.111907156611157E-4</v>
      </c>
      <c r="S47" s="3"/>
      <c r="T47" s="8">
        <v>1917.7</v>
      </c>
      <c r="U47" s="3"/>
      <c r="V47" s="7">
        <f t="shared" si="5"/>
        <v>8.1114393416439959E-2</v>
      </c>
      <c r="W47" s="3"/>
      <c r="X47" s="8">
        <f t="shared" si="6"/>
        <v>270.37999999999988</v>
      </c>
      <c r="Y47" s="3"/>
      <c r="Z47" s="7">
        <f t="shared" si="7"/>
        <v>0.14099181310945397</v>
      </c>
    </row>
    <row r="48" spans="1:26" s="68" customFormat="1" ht="15" customHeight="1" outlineLevel="1" collapsed="1" x14ac:dyDescent="0.3">
      <c r="A48" s="25"/>
      <c r="B48" s="14" t="str">
        <f>CONCATENATE("     ","Donations                                         ")</f>
        <v xml:space="preserve">     Donations                                         </v>
      </c>
      <c r="C48" s="14"/>
      <c r="D48" s="2">
        <f>SUM(OSRRefD22_6x_0)</f>
        <v>4369.66</v>
      </c>
      <c r="E48" s="2"/>
      <c r="F48" s="6">
        <f t="shared" si="0"/>
        <v>9.559407832393783E-3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4369.66</v>
      </c>
      <c r="M48" s="2"/>
      <c r="N48" s="6">
        <f t="shared" si="3"/>
        <v>0</v>
      </c>
      <c r="O48" s="14"/>
      <c r="P48" s="2">
        <f>SUM(OSRRefP22_6x_0)</f>
        <v>24813.43</v>
      </c>
      <c r="Q48" s="2"/>
      <c r="R48" s="6">
        <f t="shared" si="4"/>
        <v>9.1991261926926797E-3</v>
      </c>
      <c r="S48" s="2"/>
      <c r="T48" s="2">
        <f>SUM(OSRRefT22_6x_0)</f>
        <v>0</v>
      </c>
      <c r="U48" s="2"/>
      <c r="V48" s="6">
        <f t="shared" si="5"/>
        <v>0</v>
      </c>
      <c r="W48" s="2"/>
      <c r="X48" s="2">
        <f t="shared" si="6"/>
        <v>24813.43</v>
      </c>
      <c r="Y48" s="2"/>
      <c r="Z48" s="6">
        <f t="shared" si="7"/>
        <v>0</v>
      </c>
    </row>
    <row r="49" spans="1:26" s="69" customFormat="1" ht="15" hidden="1" customHeight="1" outlineLevel="2" x14ac:dyDescent="0.3">
      <c r="A49" s="26"/>
      <c r="B49" s="12" t="str">
        <f>CONCATENATE("          ","6399"," - ","DONATION-ON CAMPUS")</f>
        <v xml:space="preserve">          6399 - DONATION-ON CAMPUS</v>
      </c>
      <c r="C49" s="12"/>
      <c r="D49" s="8">
        <v>4369.66</v>
      </c>
      <c r="E49" s="3"/>
      <c r="F49" s="7">
        <f t="shared" si="0"/>
        <v>9.559407832393783E-3</v>
      </c>
      <c r="G49" s="3"/>
      <c r="H49" s="8"/>
      <c r="I49" s="3"/>
      <c r="J49" s="7">
        <f t="shared" si="1"/>
        <v>0</v>
      </c>
      <c r="K49" s="3"/>
      <c r="L49" s="8">
        <f t="shared" si="2"/>
        <v>4369.66</v>
      </c>
      <c r="M49" s="3"/>
      <c r="N49" s="7">
        <f t="shared" si="3"/>
        <v>0</v>
      </c>
      <c r="O49" s="12"/>
      <c r="P49" s="8">
        <v>24813.43</v>
      </c>
      <c r="Q49" s="3"/>
      <c r="R49" s="7">
        <f t="shared" si="4"/>
        <v>9.1991261926926797E-3</v>
      </c>
      <c r="S49" s="3"/>
      <c r="T49" s="8"/>
      <c r="U49" s="3"/>
      <c r="V49" s="7">
        <f t="shared" si="5"/>
        <v>0</v>
      </c>
      <c r="W49" s="3"/>
      <c r="X49" s="8">
        <f t="shared" si="6"/>
        <v>24813.43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5"/>
      <c r="B50" s="14" t="str">
        <f>CONCATENATE("     ","Employees' Appreciation                           ")</f>
        <v xml:space="preserve">     Employees' Appreciation                           </v>
      </c>
      <c r="C50" s="14"/>
      <c r="D50" s="2">
        <f>SUM(OSRRefD22_7x_0)</f>
        <v>0</v>
      </c>
      <c r="E50" s="2"/>
      <c r="F50" s="6">
        <f t="shared" si="0"/>
        <v>0</v>
      </c>
      <c r="G50" s="2"/>
      <c r="H50" s="2">
        <f>SUM(OSRRefH22_7x_0)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SUM(OSRRefP22_7x_0)</f>
        <v>34.47</v>
      </c>
      <c r="Q50" s="2"/>
      <c r="R50" s="6">
        <f t="shared" si="4"/>
        <v>1.2779123235365552E-5</v>
      </c>
      <c r="S50" s="2"/>
      <c r="T50" s="2">
        <f>SUM(OSRRefT22_7x_0)</f>
        <v>0</v>
      </c>
      <c r="U50" s="2"/>
      <c r="V50" s="6">
        <f t="shared" si="5"/>
        <v>0</v>
      </c>
      <c r="W50" s="2"/>
      <c r="X50" s="2">
        <f t="shared" si="6"/>
        <v>34.47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","6277"," - ","EMPLOYEE APPRECIATION")</f>
        <v xml:space="preserve">          6277 - EMPLOYEE APPRECIATION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34.47</v>
      </c>
      <c r="Q51" s="3"/>
      <c r="R51" s="7">
        <f t="shared" si="4"/>
        <v>1.2779123235365552E-5</v>
      </c>
      <c r="S51" s="3"/>
      <c r="T51" s="8"/>
      <c r="U51" s="3"/>
      <c r="V51" s="7">
        <f t="shared" si="5"/>
        <v>0</v>
      </c>
      <c r="W51" s="3"/>
      <c r="X51" s="8">
        <f t="shared" si="6"/>
        <v>34.47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SUM(OSRRefD22_8x_0)</f>
        <v>93</v>
      </c>
      <c r="E52" s="2"/>
      <c r="F52" s="6">
        <f t="shared" si="0"/>
        <v>2.0345402809660747E-4</v>
      </c>
      <c r="G52" s="2"/>
      <c r="H52" s="2">
        <f>SUM(OSRRefH22_8x_0)</f>
        <v>219.68</v>
      </c>
      <c r="I52" s="2"/>
      <c r="J52" s="6">
        <f t="shared" si="1"/>
        <v>0</v>
      </c>
      <c r="K52" s="2"/>
      <c r="L52" s="2">
        <f t="shared" si="2"/>
        <v>-126.68</v>
      </c>
      <c r="M52" s="2"/>
      <c r="N52" s="6">
        <f t="shared" si="3"/>
        <v>-0.57665695557174068</v>
      </c>
      <c r="O52" s="14"/>
      <c r="P52" s="2">
        <f>SUM(OSRRefP22_8x_0)</f>
        <v>6532.74</v>
      </c>
      <c r="Q52" s="2"/>
      <c r="R52" s="6">
        <f t="shared" si="4"/>
        <v>2.4218940970293576E-3</v>
      </c>
      <c r="S52" s="2"/>
      <c r="T52" s="2">
        <f>SUM(OSRRefT22_8x_0)</f>
        <v>1714.24</v>
      </c>
      <c r="U52" s="2"/>
      <c r="V52" s="6">
        <f t="shared" si="5"/>
        <v>7.2508493388015863E-2</v>
      </c>
      <c r="W52" s="2"/>
      <c r="X52" s="2">
        <f t="shared" si="6"/>
        <v>4818.5</v>
      </c>
      <c r="Y52" s="2"/>
      <c r="Z52" s="6">
        <f t="shared" si="7"/>
        <v>2.8108666231099497</v>
      </c>
    </row>
    <row r="53" spans="1:26" s="69" customFormat="1" ht="15" hidden="1" customHeight="1" outlineLevel="2" x14ac:dyDescent="0.3">
      <c r="A53" s="26"/>
      <c r="B53" s="12" t="str">
        <f>CONCATENATE("          ","6351"," - ","EQUIPMENT RENTAL")</f>
        <v xml:space="preserve">          6351 - EQUIPMENT RENTAL</v>
      </c>
      <c r="C53" s="12"/>
      <c r="D53" s="8">
        <v>93</v>
      </c>
      <c r="E53" s="3"/>
      <c r="F53" s="7">
        <f t="shared" si="0"/>
        <v>2.0345402809660747E-4</v>
      </c>
      <c r="G53" s="3"/>
      <c r="H53" s="8">
        <v>219.68</v>
      </c>
      <c r="I53" s="3"/>
      <c r="J53" s="7">
        <f t="shared" si="1"/>
        <v>0</v>
      </c>
      <c r="K53" s="3"/>
      <c r="L53" s="8">
        <f t="shared" si="2"/>
        <v>-126.68</v>
      </c>
      <c r="M53" s="3"/>
      <c r="N53" s="7">
        <f t="shared" si="3"/>
        <v>-0.57665695557174068</v>
      </c>
      <c r="O53" s="12"/>
      <c r="P53" s="8">
        <v>6532.74</v>
      </c>
      <c r="Q53" s="3"/>
      <c r="R53" s="7">
        <f t="shared" si="4"/>
        <v>2.4218940970293576E-3</v>
      </c>
      <c r="S53" s="3"/>
      <c r="T53" s="8">
        <v>1714.24</v>
      </c>
      <c r="U53" s="3"/>
      <c r="V53" s="7">
        <f t="shared" si="5"/>
        <v>7.2508493388015863E-2</v>
      </c>
      <c r="W53" s="3"/>
      <c r="X53" s="8">
        <f t="shared" si="6"/>
        <v>4818.5</v>
      </c>
      <c r="Y53" s="3"/>
      <c r="Z53" s="7">
        <f t="shared" si="7"/>
        <v>2.8108666231099497</v>
      </c>
    </row>
    <row r="54" spans="1:26" s="68" customFormat="1" ht="15" customHeight="1" outlineLevel="1" collapsed="1" x14ac:dyDescent="0.3">
      <c r="A54" s="25"/>
      <c r="B54" s="14" t="str">
        <f>CONCATENATE("     ","General                                           ")</f>
        <v xml:space="preserve">     General                                           </v>
      </c>
      <c r="C54" s="14"/>
      <c r="D54" s="2">
        <f>SUM(OSRRefD22_9x_0)</f>
        <v>0</v>
      </c>
      <c r="E54" s="2"/>
      <c r="F54" s="6">
        <f t="shared" si="0"/>
        <v>0</v>
      </c>
      <c r="G54" s="2"/>
      <c r="H54" s="2">
        <f>SUM(OSRRefH22_9x_0)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SUM(OSRRefP22_9x_0)</f>
        <v>8064.87</v>
      </c>
      <c r="Q54" s="2"/>
      <c r="R54" s="6">
        <f t="shared" si="4"/>
        <v>2.9899033248390653E-3</v>
      </c>
      <c r="S54" s="2"/>
      <c r="T54" s="2">
        <f>SUM(OSRRefT22_9x_0)</f>
        <v>3828.45</v>
      </c>
      <c r="U54" s="2"/>
      <c r="V54" s="6">
        <f t="shared" si="5"/>
        <v>0.16193481747675317</v>
      </c>
      <c r="W54" s="2"/>
      <c r="X54" s="2">
        <f t="shared" si="6"/>
        <v>4236.42</v>
      </c>
      <c r="Y54" s="2"/>
      <c r="Z54" s="6">
        <f t="shared" si="7"/>
        <v>1.1065627081455942</v>
      </c>
    </row>
    <row r="55" spans="1:26" s="69" customFormat="1" ht="15" hidden="1" customHeight="1" outlineLevel="2" x14ac:dyDescent="0.3">
      <c r="A55" s="26"/>
      <c r="B55" s="12" t="str">
        <f>CONCATENATE("          ","6279"," - ","GENERAL EXPENSE")</f>
        <v xml:space="preserve">          6279 - GENERAL EXPENSE</v>
      </c>
      <c r="C55" s="12"/>
      <c r="D55" s="8"/>
      <c r="E55" s="3"/>
      <c r="F55" s="7">
        <f t="shared" ref="F55:F75" si="8">IF(D$12=0,0,D55/D$12)</f>
        <v>0</v>
      </c>
      <c r="G55" s="3"/>
      <c r="H55" s="8"/>
      <c r="I55" s="3"/>
      <c r="J55" s="7">
        <f t="shared" ref="J55:J75" si="9">IF(H$12=0,0,H55/H$12)</f>
        <v>0</v>
      </c>
      <c r="K55" s="3"/>
      <c r="L55" s="8">
        <f t="shared" ref="L55:L75" si="10">+D55-H55</f>
        <v>0</v>
      </c>
      <c r="M55" s="3"/>
      <c r="N55" s="7">
        <f t="shared" ref="N55:N75" si="11">IF(H55=0,0,L55/H55)</f>
        <v>0</v>
      </c>
      <c r="O55" s="12"/>
      <c r="P55" s="8">
        <v>8064.87</v>
      </c>
      <c r="Q55" s="3"/>
      <c r="R55" s="7">
        <f t="shared" ref="R55:R75" si="12">IF(P$12=0,0,P55/P$12)</f>
        <v>2.9899033248390653E-3</v>
      </c>
      <c r="S55" s="3"/>
      <c r="T55" s="8">
        <v>3828.45</v>
      </c>
      <c r="U55" s="3"/>
      <c r="V55" s="7">
        <f t="shared" ref="V55:V75" si="13">IF(T$12=0,0,T55/T$12)</f>
        <v>0.16193481747675317</v>
      </c>
      <c r="W55" s="3"/>
      <c r="X55" s="8">
        <f t="shared" ref="X55:X75" si="14">+P55-T55</f>
        <v>4236.42</v>
      </c>
      <c r="Y55" s="3"/>
      <c r="Z55" s="7">
        <f t="shared" ref="Z55:Z75" si="15">IF(T55=0,0,X55/T55)</f>
        <v>1.1065627081455942</v>
      </c>
    </row>
    <row r="56" spans="1:26" s="68" customFormat="1" ht="15" customHeight="1" outlineLevel="1" collapsed="1" x14ac:dyDescent="0.3">
      <c r="A56" s="25"/>
      <c r="B56" s="14" t="str">
        <f>CONCATENATE("     ","R/H Commissions                                   ")</f>
        <v xml:space="preserve">     R/H Commissions                                   </v>
      </c>
      <c r="C56" s="14"/>
      <c r="D56" s="2">
        <f>SUM(OSRRefD22_10x_0)</f>
        <v>35258.730000000003</v>
      </c>
      <c r="E56" s="2"/>
      <c r="F56" s="6">
        <f t="shared" si="8"/>
        <v>7.7134738108287068E-2</v>
      </c>
      <c r="G56" s="2"/>
      <c r="H56" s="2">
        <f>SUM(OSRRefH22_10x_0)</f>
        <v>0</v>
      </c>
      <c r="I56" s="2"/>
      <c r="J56" s="6">
        <f t="shared" si="9"/>
        <v>0</v>
      </c>
      <c r="K56" s="2"/>
      <c r="L56" s="2">
        <f t="shared" si="10"/>
        <v>35258.730000000003</v>
      </c>
      <c r="M56" s="2"/>
      <c r="N56" s="6">
        <f t="shared" si="11"/>
        <v>0</v>
      </c>
      <c r="O56" s="14"/>
      <c r="P56" s="2">
        <f>SUM(OSRRefP22_10x_0)</f>
        <v>208989.85</v>
      </c>
      <c r="Q56" s="2"/>
      <c r="R56" s="6">
        <f t="shared" si="12"/>
        <v>7.7479171688150897E-2</v>
      </c>
      <c r="S56" s="2"/>
      <c r="T56" s="2">
        <f>SUM(OSRRefT22_10x_0)</f>
        <v>1899.35</v>
      </c>
      <c r="U56" s="2"/>
      <c r="V56" s="6">
        <f t="shared" si="13"/>
        <v>8.0338229720767179E-2</v>
      </c>
      <c r="W56" s="2"/>
      <c r="X56" s="2">
        <f t="shared" si="14"/>
        <v>207090.5</v>
      </c>
      <c r="Y56" s="2"/>
      <c r="Z56" s="6">
        <f t="shared" si="15"/>
        <v>109.03230052386343</v>
      </c>
    </row>
    <row r="57" spans="1:26" s="69" customFormat="1" ht="15" hidden="1" customHeight="1" outlineLevel="2" x14ac:dyDescent="0.3">
      <c r="A57" s="26"/>
      <c r="B57" s="12" t="str">
        <f>CONCATENATE("          ","6387"," - ","COMMISSION DUE HOUSING")</f>
        <v xml:space="preserve">          6387 - COMMISSION DUE HOUSING</v>
      </c>
      <c r="C57" s="12"/>
      <c r="D57" s="8">
        <v>35258.730000000003</v>
      </c>
      <c r="E57" s="3"/>
      <c r="F57" s="7">
        <f t="shared" si="8"/>
        <v>7.7134738108287068E-2</v>
      </c>
      <c r="G57" s="3"/>
      <c r="H57" s="8"/>
      <c r="I57" s="3"/>
      <c r="J57" s="7">
        <f t="shared" si="9"/>
        <v>0</v>
      </c>
      <c r="K57" s="3"/>
      <c r="L57" s="8">
        <f t="shared" si="10"/>
        <v>35258.730000000003</v>
      </c>
      <c r="M57" s="3"/>
      <c r="N57" s="7">
        <f t="shared" si="11"/>
        <v>0</v>
      </c>
      <c r="O57" s="12"/>
      <c r="P57" s="8">
        <v>208989.85</v>
      </c>
      <c r="Q57" s="3"/>
      <c r="R57" s="7">
        <f t="shared" si="12"/>
        <v>7.7479171688150897E-2</v>
      </c>
      <c r="S57" s="3"/>
      <c r="T57" s="8">
        <v>1899.35</v>
      </c>
      <c r="U57" s="3"/>
      <c r="V57" s="7">
        <f t="shared" si="13"/>
        <v>8.0338229720767179E-2</v>
      </c>
      <c r="W57" s="3"/>
      <c r="X57" s="8">
        <f t="shared" si="14"/>
        <v>207090.5</v>
      </c>
      <c r="Y57" s="3"/>
      <c r="Z57" s="7">
        <f t="shared" si="15"/>
        <v>109.03230052386343</v>
      </c>
    </row>
    <row r="58" spans="1:26" s="68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SUM(OSRRefD22_11x_0)</f>
        <v>0</v>
      </c>
      <c r="E58" s="2"/>
      <c r="F58" s="6">
        <f t="shared" si="8"/>
        <v>0</v>
      </c>
      <c r="G58" s="2"/>
      <c r="H58" s="2">
        <f>SUM(OSRRefH22_11x_0)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SUM(OSRRefP22_11x_0)</f>
        <v>2702.5499999999997</v>
      </c>
      <c r="Q58" s="2"/>
      <c r="R58" s="6">
        <f t="shared" si="12"/>
        <v>1.0019210762906056E-3</v>
      </c>
      <c r="S58" s="2"/>
      <c r="T58" s="2">
        <f>SUM(OSRRefT22_11x_0)</f>
        <v>1260.8499999999999</v>
      </c>
      <c r="U58" s="2"/>
      <c r="V58" s="6">
        <f t="shared" si="13"/>
        <v>5.3331116931281383E-2</v>
      </c>
      <c r="W58" s="2"/>
      <c r="X58" s="2">
        <f t="shared" si="14"/>
        <v>1441.6999999999998</v>
      </c>
      <c r="Y58" s="2"/>
      <c r="Z58" s="6">
        <f t="shared" si="15"/>
        <v>1.1434349843359637</v>
      </c>
    </row>
    <row r="59" spans="1:26" s="69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190.2</v>
      </c>
      <c r="Q59" s="3"/>
      <c r="R59" s="7">
        <f t="shared" si="12"/>
        <v>7.0513177817421751E-5</v>
      </c>
      <c r="S59" s="3"/>
      <c r="T59" s="8">
        <v>1241.8499999999999</v>
      </c>
      <c r="U59" s="3"/>
      <c r="V59" s="7">
        <f t="shared" si="13"/>
        <v>5.2527459698704676E-2</v>
      </c>
      <c r="W59" s="3"/>
      <c r="X59" s="8">
        <f t="shared" si="14"/>
        <v>-1051.6499999999999</v>
      </c>
      <c r="Y59" s="3"/>
      <c r="Z59" s="7">
        <f t="shared" si="15"/>
        <v>-0.84684140596690416</v>
      </c>
    </row>
    <row r="60" spans="1:26" s="69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2512.35</v>
      </c>
      <c r="Q60" s="3"/>
      <c r="R60" s="7">
        <f t="shared" si="12"/>
        <v>9.3140789847318375E-4</v>
      </c>
      <c r="S60" s="3"/>
      <c r="T60" s="8">
        <v>19</v>
      </c>
      <c r="U60" s="3"/>
      <c r="V60" s="7">
        <f t="shared" si="13"/>
        <v>8.036572325767113E-4</v>
      </c>
      <c r="W60" s="3"/>
      <c r="X60" s="8">
        <f t="shared" si="14"/>
        <v>2493.35</v>
      </c>
      <c r="Y60" s="3"/>
      <c r="Z60" s="7">
        <f t="shared" si="15"/>
        <v>131.22894736842105</v>
      </c>
    </row>
    <row r="61" spans="1:26" s="68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SUM(OSRRefD22_12x_0)</f>
        <v>6287.49</v>
      </c>
      <c r="E61" s="2"/>
      <c r="F61" s="6">
        <f t="shared" si="8"/>
        <v>1.3755001796958479E-2</v>
      </c>
      <c r="G61" s="2"/>
      <c r="H61" s="2">
        <f>SUM(OSRRefH22_12x_0)</f>
        <v>4749.42</v>
      </c>
      <c r="I61" s="2"/>
      <c r="J61" s="6">
        <f t="shared" si="9"/>
        <v>0</v>
      </c>
      <c r="K61" s="2"/>
      <c r="L61" s="2">
        <f t="shared" si="10"/>
        <v>1538.0699999999997</v>
      </c>
      <c r="M61" s="2"/>
      <c r="N61" s="6">
        <f t="shared" si="11"/>
        <v>0.32384375355306538</v>
      </c>
      <c r="O61" s="14"/>
      <c r="P61" s="2">
        <f>SUM(OSRRefP22_12x_0)</f>
        <v>44161.759999999995</v>
      </c>
      <c r="Q61" s="2"/>
      <c r="R61" s="6">
        <f t="shared" si="12"/>
        <v>1.6372166328129881E-2</v>
      </c>
      <c r="S61" s="2"/>
      <c r="T61" s="2">
        <f>SUM(OSRRefT22_12x_0)</f>
        <v>46157.060000000005</v>
      </c>
      <c r="U61" s="2"/>
      <c r="V61" s="6">
        <f t="shared" si="13"/>
        <v>1.9523397422882747</v>
      </c>
      <c r="W61" s="2"/>
      <c r="X61" s="2">
        <f t="shared" si="14"/>
        <v>-1995.3000000000102</v>
      </c>
      <c r="Y61" s="2"/>
      <c r="Z61" s="6">
        <f t="shared" si="15"/>
        <v>-4.3228489856156564E-2</v>
      </c>
    </row>
    <row r="62" spans="1:26" s="69" customFormat="1" ht="15" hidden="1" customHeight="1" outlineLevel="2" x14ac:dyDescent="0.3">
      <c r="A62" s="26"/>
      <c r="B62" s="12" t="str">
        <f>CONCATENATE("          ","6282"," - ","JANITORIAL/EXTERMINATOR EXPENS")</f>
        <v xml:space="preserve">          6282 - JANITORIAL/EXTERMINATOR EXPENS</v>
      </c>
      <c r="C62" s="12"/>
      <c r="D62" s="8">
        <v>454.95</v>
      </c>
      <c r="E62" s="3"/>
      <c r="F62" s="7">
        <f t="shared" si="8"/>
        <v>9.9528397938227495E-4</v>
      </c>
      <c r="G62" s="3"/>
      <c r="H62" s="8"/>
      <c r="I62" s="3"/>
      <c r="J62" s="7">
        <f t="shared" si="9"/>
        <v>0</v>
      </c>
      <c r="K62" s="3"/>
      <c r="L62" s="8">
        <f t="shared" si="10"/>
        <v>454.95</v>
      </c>
      <c r="M62" s="3"/>
      <c r="N62" s="7">
        <f t="shared" si="11"/>
        <v>0</v>
      </c>
      <c r="O62" s="12"/>
      <c r="P62" s="8">
        <v>3414.02</v>
      </c>
      <c r="Q62" s="3"/>
      <c r="R62" s="7">
        <f t="shared" si="12"/>
        <v>1.2656855906006007E-3</v>
      </c>
      <c r="S62" s="3"/>
      <c r="T62" s="8">
        <v>3009.62</v>
      </c>
      <c r="U62" s="3"/>
      <c r="V62" s="7">
        <f t="shared" si="13"/>
        <v>0.12730015159513272</v>
      </c>
      <c r="W62" s="3"/>
      <c r="X62" s="8">
        <f t="shared" si="14"/>
        <v>404.40000000000009</v>
      </c>
      <c r="Y62" s="3"/>
      <c r="Z62" s="7">
        <f t="shared" si="15"/>
        <v>0.13436912301220755</v>
      </c>
    </row>
    <row r="63" spans="1:26" s="69" customFormat="1" ht="15" hidden="1" customHeight="1" outlineLevel="2" x14ac:dyDescent="0.3">
      <c r="A63" s="26"/>
      <c r="B63" s="12" t="str">
        <f>CONCATENATE("          ","6285"," - ","JANITORIAL SERVICES")</f>
        <v xml:space="preserve">          6285 - JANITORIAL SERVICES</v>
      </c>
      <c r="C63" s="12"/>
      <c r="D63" s="8">
        <v>4428.8599999999997</v>
      </c>
      <c r="E63" s="3"/>
      <c r="F63" s="7">
        <f t="shared" si="8"/>
        <v>9.6889183535047423E-3</v>
      </c>
      <c r="G63" s="3"/>
      <c r="H63" s="8">
        <v>4428.8599999999997</v>
      </c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35913.879999999997</v>
      </c>
      <c r="Q63" s="3"/>
      <c r="R63" s="7">
        <f t="shared" si="12"/>
        <v>1.3314415386716861E-2</v>
      </c>
      <c r="S63" s="3"/>
      <c r="T63" s="8">
        <v>37957.07</v>
      </c>
      <c r="U63" s="3"/>
      <c r="V63" s="7">
        <f t="shared" si="13"/>
        <v>1.6054986227852899</v>
      </c>
      <c r="W63" s="3"/>
      <c r="X63" s="8">
        <f t="shared" si="14"/>
        <v>-2043.1900000000023</v>
      </c>
      <c r="Y63" s="3"/>
      <c r="Z63" s="7">
        <f t="shared" si="15"/>
        <v>-5.3828970465844762E-2</v>
      </c>
    </row>
    <row r="64" spans="1:26" s="69" customFormat="1" ht="15" hidden="1" customHeight="1" outlineLevel="2" x14ac:dyDescent="0.3">
      <c r="A64" s="26"/>
      <c r="B64" s="12" t="str">
        <f>CONCATENATE("          ","6286"," - ","LAUNDRY EXPENSE")</f>
        <v xml:space="preserve">          6286 - LAUNDRY EXPENSE</v>
      </c>
      <c r="C64" s="12"/>
      <c r="D64" s="8">
        <v>1403.68</v>
      </c>
      <c r="E64" s="3"/>
      <c r="F64" s="7">
        <f t="shared" si="8"/>
        <v>3.0707994640714626E-3</v>
      </c>
      <c r="G64" s="3"/>
      <c r="H64" s="8">
        <v>320.56</v>
      </c>
      <c r="I64" s="3"/>
      <c r="J64" s="7">
        <f t="shared" si="9"/>
        <v>0</v>
      </c>
      <c r="K64" s="3"/>
      <c r="L64" s="8">
        <f t="shared" si="10"/>
        <v>1083.1200000000001</v>
      </c>
      <c r="M64" s="3"/>
      <c r="N64" s="7">
        <f t="shared" si="11"/>
        <v>3.3788370351884205</v>
      </c>
      <c r="O64" s="12"/>
      <c r="P64" s="8">
        <v>4833.8599999999997</v>
      </c>
      <c r="Q64" s="3"/>
      <c r="R64" s="7">
        <f t="shared" si="12"/>
        <v>1.7920653508124201E-3</v>
      </c>
      <c r="S64" s="3"/>
      <c r="T64" s="8">
        <v>5190.37</v>
      </c>
      <c r="U64" s="3"/>
      <c r="V64" s="7">
        <f t="shared" si="13"/>
        <v>0.21954096790785183</v>
      </c>
      <c r="W64" s="3"/>
      <c r="X64" s="8">
        <f t="shared" si="14"/>
        <v>-356.51000000000022</v>
      </c>
      <c r="Y64" s="3"/>
      <c r="Z64" s="7">
        <f t="shared" si="15"/>
        <v>-6.8686818088113222E-2</v>
      </c>
    </row>
    <row r="65" spans="1:26" s="68" customFormat="1" ht="15" customHeight="1" outlineLevel="1" collapsed="1" x14ac:dyDescent="0.3">
      <c r="A65" s="25"/>
      <c r="B65" s="14" t="str">
        <f>CONCATENATE("     ","Supplies                                          ")</f>
        <v xml:space="preserve">     Supplies                                          </v>
      </c>
      <c r="C65" s="14"/>
      <c r="D65" s="2">
        <f>SUM(OSRRefD22_13x_0)</f>
        <v>5760.6</v>
      </c>
      <c r="E65" s="2"/>
      <c r="F65" s="6">
        <f t="shared" si="8"/>
        <v>1.2602336282293732E-2</v>
      </c>
      <c r="G65" s="2"/>
      <c r="H65" s="2">
        <f>SUM(OSRRefH22_13x_0)</f>
        <v>0</v>
      </c>
      <c r="I65" s="2"/>
      <c r="J65" s="6">
        <f t="shared" si="9"/>
        <v>0</v>
      </c>
      <c r="K65" s="2"/>
      <c r="L65" s="2">
        <f t="shared" si="10"/>
        <v>5760.6</v>
      </c>
      <c r="M65" s="2"/>
      <c r="N65" s="6">
        <f t="shared" si="11"/>
        <v>0</v>
      </c>
      <c r="O65" s="14"/>
      <c r="P65" s="2">
        <f>SUM(OSRRefP22_13x_0)</f>
        <v>55720.73</v>
      </c>
      <c r="Q65" s="2"/>
      <c r="R65" s="6">
        <f t="shared" si="12"/>
        <v>2.0657443441674802E-2</v>
      </c>
      <c r="S65" s="2"/>
      <c r="T65" s="2">
        <f>SUM(OSRRefT22_13x_0)</f>
        <v>10125.33</v>
      </c>
      <c r="U65" s="2"/>
      <c r="V65" s="6">
        <f t="shared" si="13"/>
        <v>0.42827866772241852</v>
      </c>
      <c r="W65" s="2"/>
      <c r="X65" s="2">
        <f t="shared" si="14"/>
        <v>45595.4</v>
      </c>
      <c r="Y65" s="2"/>
      <c r="Z65" s="6">
        <f t="shared" si="15"/>
        <v>4.5031026149271183</v>
      </c>
    </row>
    <row r="66" spans="1:26" s="69" customFormat="1" ht="15" hidden="1" customHeight="1" outlineLevel="2" x14ac:dyDescent="0.3">
      <c r="A66" s="26"/>
      <c r="B66" s="12" t="str">
        <f>CONCATENATE("          ","6234"," - ","EXPENDABLE SUPPLIES &amp; EQUIPMEN")</f>
        <v xml:space="preserve">          6234 - EXPENDABLE SUPPLIES &amp; EQUIPMEN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21.98</v>
      </c>
      <c r="Q66" s="3"/>
      <c r="R66" s="7">
        <f t="shared" si="12"/>
        <v>8.1486837456726096E-6</v>
      </c>
      <c r="S66" s="3"/>
      <c r="T66" s="8"/>
      <c r="U66" s="3"/>
      <c r="V66" s="7">
        <f t="shared" si="13"/>
        <v>0</v>
      </c>
      <c r="W66" s="3"/>
      <c r="X66" s="8">
        <f t="shared" si="14"/>
        <v>21.98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6"/>
      <c r="B67" s="12" t="str">
        <f>CONCATENATE("          ","6235"," - ","COVID-19 EXPENSES")</f>
        <v xml:space="preserve">          6235 - COVID-19 EXPENSES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1375.08</v>
      </c>
      <c r="U67" s="3"/>
      <c r="V67" s="7">
        <f t="shared" si="13"/>
        <v>5.8162788809030738E-2</v>
      </c>
      <c r="W67" s="3"/>
      <c r="X67" s="8">
        <f t="shared" si="14"/>
        <v>-1375.08</v>
      </c>
      <c r="Y67" s="3"/>
      <c r="Z67" s="7">
        <f t="shared" si="15"/>
        <v>-1</v>
      </c>
    </row>
    <row r="68" spans="1:26" s="69" customFormat="1" ht="15" hidden="1" customHeight="1" outlineLevel="2" x14ac:dyDescent="0.3">
      <c r="A68" s="26"/>
      <c r="B68" s="12" t="str">
        <f>CONCATENATE("          ","6237"," - ","JANITORIAL SUPPLIES")</f>
        <v xml:space="preserve">          6237 - JANITORIAL SUPPLIES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9095.82</v>
      </c>
      <c r="Q68" s="3"/>
      <c r="R68" s="7">
        <f t="shared" si="12"/>
        <v>3.372109216904633E-3</v>
      </c>
      <c r="S68" s="3"/>
      <c r="T68" s="8">
        <v>4689.93</v>
      </c>
      <c r="U68" s="3"/>
      <c r="V68" s="7">
        <f t="shared" si="13"/>
        <v>0.19837348235676294</v>
      </c>
      <c r="W68" s="3"/>
      <c r="X68" s="8">
        <f t="shared" si="14"/>
        <v>4405.8899999999994</v>
      </c>
      <c r="Y68" s="3"/>
      <c r="Z68" s="7">
        <f t="shared" si="15"/>
        <v>0.9394361962758504</v>
      </c>
    </row>
    <row r="69" spans="1:26" s="69" customFormat="1" ht="15" hidden="1" customHeight="1" outlineLevel="2" x14ac:dyDescent="0.3">
      <c r="A69" s="26"/>
      <c r="B69" s="12" t="str">
        <f>CONCATENATE("          ","6239"," - ","KITCHEN SUPPLIES")</f>
        <v xml:space="preserve">          6239 - KITCHEN SUPPLIES</v>
      </c>
      <c r="C69" s="12"/>
      <c r="D69" s="8">
        <v>966</v>
      </c>
      <c r="E69" s="3"/>
      <c r="F69" s="7">
        <f t="shared" si="8"/>
        <v>2.1132966789389552E-3</v>
      </c>
      <c r="G69" s="3"/>
      <c r="H69" s="8"/>
      <c r="I69" s="3"/>
      <c r="J69" s="7">
        <f t="shared" si="9"/>
        <v>0</v>
      </c>
      <c r="K69" s="3"/>
      <c r="L69" s="8">
        <f t="shared" si="10"/>
        <v>966</v>
      </c>
      <c r="M69" s="3"/>
      <c r="N69" s="7">
        <f t="shared" si="11"/>
        <v>0</v>
      </c>
      <c r="O69" s="12"/>
      <c r="P69" s="8">
        <v>7791.59</v>
      </c>
      <c r="Q69" s="3"/>
      <c r="R69" s="7">
        <f t="shared" si="12"/>
        <v>2.8885897536826775E-3</v>
      </c>
      <c r="S69" s="3"/>
      <c r="T69" s="8">
        <v>1031.07</v>
      </c>
      <c r="U69" s="3"/>
      <c r="V69" s="7">
        <f t="shared" si="13"/>
        <v>4.3611940146993135E-2</v>
      </c>
      <c r="W69" s="3"/>
      <c r="X69" s="8">
        <f t="shared" si="14"/>
        <v>6760.52</v>
      </c>
      <c r="Y69" s="3"/>
      <c r="Z69" s="7">
        <f t="shared" si="15"/>
        <v>6.5568002172500419</v>
      </c>
    </row>
    <row r="70" spans="1:26" s="69" customFormat="1" ht="15" hidden="1" customHeight="1" outlineLevel="2" x14ac:dyDescent="0.3">
      <c r="A70" s="26"/>
      <c r="B70" s="12" t="str">
        <f>CONCATENATE("          ","6241"," - ","OFFICE EXPENSE")</f>
        <v xml:space="preserve">          6241 - OFFICE EXPENSE</v>
      </c>
      <c r="C70" s="12"/>
      <c r="D70" s="8">
        <v>302.72000000000003</v>
      </c>
      <c r="E70" s="3"/>
      <c r="F70" s="7">
        <f t="shared" si="8"/>
        <v>6.6225379984306474E-4</v>
      </c>
      <c r="G70" s="3"/>
      <c r="H70" s="8"/>
      <c r="I70" s="3"/>
      <c r="J70" s="7">
        <f t="shared" si="9"/>
        <v>0</v>
      </c>
      <c r="K70" s="3"/>
      <c r="L70" s="8">
        <f t="shared" si="10"/>
        <v>302.72000000000003</v>
      </c>
      <c r="M70" s="3"/>
      <c r="N70" s="7">
        <f t="shared" si="11"/>
        <v>0</v>
      </c>
      <c r="O70" s="12"/>
      <c r="P70" s="8">
        <v>3583.99</v>
      </c>
      <c r="Q70" s="3"/>
      <c r="R70" s="7">
        <f t="shared" si="12"/>
        <v>1.3286988652253492E-3</v>
      </c>
      <c r="S70" s="3"/>
      <c r="T70" s="8">
        <v>19.7</v>
      </c>
      <c r="U70" s="3"/>
      <c r="V70" s="7">
        <f t="shared" si="13"/>
        <v>8.3326565693480064E-4</v>
      </c>
      <c r="W70" s="3"/>
      <c r="X70" s="8">
        <f t="shared" si="14"/>
        <v>3564.29</v>
      </c>
      <c r="Y70" s="3"/>
      <c r="Z70" s="7">
        <f t="shared" si="15"/>
        <v>180.92842639593908</v>
      </c>
    </row>
    <row r="71" spans="1:26" s="69" customFormat="1" ht="15" hidden="1" customHeight="1" outlineLevel="2" x14ac:dyDescent="0.3">
      <c r="A71" s="26"/>
      <c r="B71" s="12" t="str">
        <f>CONCATENATE("          ","6243"," - ","PAPER SUPPLIES")</f>
        <v xml:space="preserve">          6243 - PAPER SUPPLIES</v>
      </c>
      <c r="C71" s="12"/>
      <c r="D71" s="8">
        <v>4197.7700000000004</v>
      </c>
      <c r="E71" s="3"/>
      <c r="F71" s="7">
        <f t="shared" si="8"/>
        <v>9.1833679088504962E-3</v>
      </c>
      <c r="G71" s="3"/>
      <c r="H71" s="8"/>
      <c r="I71" s="3"/>
      <c r="J71" s="7">
        <f t="shared" si="9"/>
        <v>0</v>
      </c>
      <c r="K71" s="3"/>
      <c r="L71" s="8">
        <f t="shared" si="10"/>
        <v>4197.7700000000004</v>
      </c>
      <c r="M71" s="3"/>
      <c r="N71" s="7">
        <f t="shared" si="11"/>
        <v>0</v>
      </c>
      <c r="O71" s="12"/>
      <c r="P71" s="8">
        <v>32854.910000000003</v>
      </c>
      <c r="Q71" s="3"/>
      <c r="R71" s="7">
        <f t="shared" si="12"/>
        <v>1.2180358102026228E-2</v>
      </c>
      <c r="S71" s="3"/>
      <c r="T71" s="8">
        <v>3009.55</v>
      </c>
      <c r="U71" s="3"/>
      <c r="V71" s="7">
        <f t="shared" si="13"/>
        <v>0.12729719075269691</v>
      </c>
      <c r="W71" s="3"/>
      <c r="X71" s="8">
        <f t="shared" si="14"/>
        <v>29845.360000000004</v>
      </c>
      <c r="Y71" s="3"/>
      <c r="Z71" s="7">
        <f t="shared" si="15"/>
        <v>9.9168845840740314</v>
      </c>
    </row>
    <row r="72" spans="1:26" s="69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8">
        <v>294.11</v>
      </c>
      <c r="E72" s="3"/>
      <c r="F72" s="7">
        <f t="shared" si="8"/>
        <v>6.4341789466121747E-4</v>
      </c>
      <c r="G72" s="3"/>
      <c r="H72" s="8"/>
      <c r="I72" s="3"/>
      <c r="J72" s="7">
        <f t="shared" si="9"/>
        <v>0</v>
      </c>
      <c r="K72" s="3"/>
      <c r="L72" s="8">
        <f t="shared" si="10"/>
        <v>294.11</v>
      </c>
      <c r="M72" s="3"/>
      <c r="N72" s="7">
        <f t="shared" si="11"/>
        <v>0</v>
      </c>
      <c r="O72" s="12"/>
      <c r="P72" s="8">
        <v>502.04</v>
      </c>
      <c r="Q72" s="3"/>
      <c r="R72" s="7">
        <f t="shared" si="12"/>
        <v>1.8612216504447119E-4</v>
      </c>
      <c r="S72" s="3"/>
      <c r="T72" s="8"/>
      <c r="U72" s="3"/>
      <c r="V72" s="7">
        <f t="shared" si="13"/>
        <v>0</v>
      </c>
      <c r="W72" s="3"/>
      <c r="X72" s="8">
        <f t="shared" si="14"/>
        <v>502.04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6"/>
      <c r="B73" s="12" t="str">
        <f>CONCATENATE("          ","6248"," - ","UNIFORMS")</f>
        <v xml:space="preserve">          6248 - UNIFORMS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1870.4</v>
      </c>
      <c r="Q73" s="3"/>
      <c r="R73" s="7">
        <f t="shared" si="12"/>
        <v>6.9341665504577118E-4</v>
      </c>
      <c r="S73" s="3"/>
      <c r="T73" s="8"/>
      <c r="U73" s="3"/>
      <c r="V73" s="7">
        <f t="shared" si="13"/>
        <v>0</v>
      </c>
      <c r="W73" s="3"/>
      <c r="X73" s="8">
        <f t="shared" si="14"/>
        <v>1870.4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5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SUM(OSRRefD22_14x_0)</f>
        <v>164</v>
      </c>
      <c r="E74" s="2"/>
      <c r="F74" s="6">
        <f t="shared" si="8"/>
        <v>3.5877914632089923E-4</v>
      </c>
      <c r="G74" s="2"/>
      <c r="H74" s="2">
        <f>SUM(OSRRefH22_14x_0)</f>
        <v>89</v>
      </c>
      <c r="I74" s="2"/>
      <c r="J74" s="6">
        <f t="shared" si="9"/>
        <v>0</v>
      </c>
      <c r="K74" s="2"/>
      <c r="L74" s="2">
        <f t="shared" si="10"/>
        <v>75</v>
      </c>
      <c r="M74" s="2"/>
      <c r="N74" s="6">
        <f t="shared" si="11"/>
        <v>0.84269662921348309</v>
      </c>
      <c r="O74" s="14"/>
      <c r="P74" s="2">
        <f>SUM(OSRRefP22_14x_0)</f>
        <v>1612</v>
      </c>
      <c r="Q74" s="2"/>
      <c r="R74" s="6">
        <f t="shared" si="12"/>
        <v>5.976195722486008E-4</v>
      </c>
      <c r="S74" s="2"/>
      <c r="T74" s="2">
        <f>SUM(OSRRefT22_14x_0)</f>
        <v>1098</v>
      </c>
      <c r="U74" s="2"/>
      <c r="V74" s="6">
        <f t="shared" si="13"/>
        <v>4.6442928493117312E-2</v>
      </c>
      <c r="W74" s="2"/>
      <c r="X74" s="2">
        <f t="shared" si="14"/>
        <v>514</v>
      </c>
      <c r="Y74" s="2"/>
      <c r="Z74" s="6">
        <f t="shared" si="15"/>
        <v>0.4681238615664845</v>
      </c>
    </row>
    <row r="75" spans="1:26" s="69" customFormat="1" ht="15" hidden="1" customHeight="1" outlineLevel="2" x14ac:dyDescent="0.3">
      <c r="A75" s="26"/>
      <c r="B75" s="12" t="str">
        <f>CONCATENATE("          ","6309"," - ","TELEPHONE")</f>
        <v xml:space="preserve">          6309 - TELEPHONE</v>
      </c>
      <c r="C75" s="12"/>
      <c r="D75" s="8">
        <v>164</v>
      </c>
      <c r="E75" s="3"/>
      <c r="F75" s="7">
        <f t="shared" si="8"/>
        <v>3.5877914632089923E-4</v>
      </c>
      <c r="G75" s="3"/>
      <c r="H75" s="8">
        <v>89</v>
      </c>
      <c r="I75" s="3"/>
      <c r="J75" s="7">
        <f t="shared" si="9"/>
        <v>0</v>
      </c>
      <c r="K75" s="3"/>
      <c r="L75" s="8">
        <f t="shared" si="10"/>
        <v>75</v>
      </c>
      <c r="M75" s="3"/>
      <c r="N75" s="7">
        <f t="shared" si="11"/>
        <v>0.84269662921348309</v>
      </c>
      <c r="O75" s="12"/>
      <c r="P75" s="8">
        <v>1612</v>
      </c>
      <c r="Q75" s="3"/>
      <c r="R75" s="7">
        <f t="shared" si="12"/>
        <v>5.976195722486008E-4</v>
      </c>
      <c r="S75" s="3"/>
      <c r="T75" s="8">
        <v>1098</v>
      </c>
      <c r="U75" s="3"/>
      <c r="V75" s="7">
        <f t="shared" si="13"/>
        <v>4.6442928493117312E-2</v>
      </c>
      <c r="W75" s="3"/>
      <c r="X75" s="8">
        <f t="shared" si="14"/>
        <v>514</v>
      </c>
      <c r="Y75" s="3"/>
      <c r="Z75" s="7">
        <f t="shared" si="15"/>
        <v>0.4681238615664845</v>
      </c>
    </row>
    <row r="76" spans="1:26" s="64" customFormat="1" ht="15" customHeight="1" x14ac:dyDescent="0.3">
      <c r="A76" s="36"/>
      <c r="B76" s="36"/>
      <c r="C76" s="36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3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62" customFormat="1" ht="15" customHeight="1" x14ac:dyDescent="0.3">
      <c r="A77" s="11"/>
      <c r="B77" s="27" t="s">
        <v>290</v>
      </c>
      <c r="C77" s="11"/>
      <c r="D77" s="5">
        <f>SUM(0)</f>
        <v>0</v>
      </c>
      <c r="E77" s="5"/>
      <c r="F77" s="13">
        <f>IF(D$12=0,0,D77/D$12)</f>
        <v>0</v>
      </c>
      <c r="G77" s="5"/>
      <c r="H77" s="5">
        <f>SUM(0)</f>
        <v>0</v>
      </c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>
        <f>SUM(0)</f>
        <v>0</v>
      </c>
      <c r="Q77" s="5"/>
      <c r="R77" s="13">
        <f>IF(P$12=0,0,P77/P$12)</f>
        <v>0</v>
      </c>
      <c r="S77" s="5"/>
      <c r="T77" s="5">
        <f>SUM(0)</f>
        <v>0</v>
      </c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11"/>
      <c r="B79" s="28" t="s">
        <v>291</v>
      </c>
      <c r="C79" s="28"/>
      <c r="D79" s="23">
        <f>+D21-D23+D77</f>
        <v>192087.76000000004</v>
      </c>
      <c r="E79" s="15"/>
      <c r="F79" s="22">
        <f>IF(D$12=0,0,D79/D$12)</f>
        <v>0.42022611311886454</v>
      </c>
      <c r="G79" s="15"/>
      <c r="H79" s="23">
        <f>+H21-H23+H77</f>
        <v>-46306.989999999991</v>
      </c>
      <c r="I79" s="15"/>
      <c r="J79" s="22">
        <f>IF(H$12=0,0,H79/H$12)</f>
        <v>0</v>
      </c>
      <c r="K79" s="17"/>
      <c r="L79" s="23">
        <f>+D79-H79</f>
        <v>238394.75000000003</v>
      </c>
      <c r="M79" s="17"/>
      <c r="N79" s="22">
        <f>IF(H79=0,0,L79/H79)</f>
        <v>-5.1481374626163365</v>
      </c>
      <c r="O79" s="27"/>
      <c r="P79" s="23">
        <f>+P21-P23+P77</f>
        <v>936975.55000000051</v>
      </c>
      <c r="Q79" s="15"/>
      <c r="R79" s="22">
        <f>IF(P$12=0,0,P79/P$12)</f>
        <v>0.34736658027195894</v>
      </c>
      <c r="S79" s="15"/>
      <c r="T79" s="23">
        <f>+T21-T23+T77</f>
        <v>-416297.77999999997</v>
      </c>
      <c r="U79" s="15"/>
      <c r="V79" s="22">
        <f>IF(T$12=0,0,T79/T$12)</f>
        <v>-17.608459042243609</v>
      </c>
      <c r="W79" s="17"/>
      <c r="X79" s="23">
        <f>+P79-T79</f>
        <v>1353273.3300000005</v>
      </c>
      <c r="Y79" s="17"/>
      <c r="Z79" s="22">
        <f>IF(T79=0,0,X79/T79)</f>
        <v>-3.2507339577933867</v>
      </c>
    </row>
    <row r="80" spans="1:26" ht="15" customHeight="1" x14ac:dyDescent="0.3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48"/>
      <c r="B81" s="11" t="s">
        <v>292</v>
      </c>
      <c r="C81" s="11"/>
      <c r="D81" s="5">
        <v>40155.11</v>
      </c>
      <c r="E81" s="5"/>
      <c r="F81" s="13">
        <f>IF(D$12=0,0,D81/D$12)</f>
        <v>8.7846439550132951E-2</v>
      </c>
      <c r="G81" s="5"/>
      <c r="H81" s="5">
        <v>390.32</v>
      </c>
      <c r="I81" s="5"/>
      <c r="J81" s="13">
        <f>IF(H$12=0,0,H81/H$12)</f>
        <v>0</v>
      </c>
      <c r="K81" s="5"/>
      <c r="L81" s="5">
        <f>+D81-H81</f>
        <v>39764.79</v>
      </c>
      <c r="M81" s="5"/>
      <c r="N81" s="13">
        <f>IF(H81=0,0,L81/H81)</f>
        <v>101.87740828038532</v>
      </c>
      <c r="O81" s="11"/>
      <c r="P81" s="5">
        <v>336692.79</v>
      </c>
      <c r="Q81" s="5"/>
      <c r="R81" s="13">
        <f>IF(P$12=0,0,P81/P$12)</f>
        <v>0.12482270542120842</v>
      </c>
      <c r="S81" s="5"/>
      <c r="T81" s="5">
        <v>4681.95</v>
      </c>
      <c r="U81" s="5"/>
      <c r="V81" s="13">
        <f>IF(T$12=0,0,T81/T$12)</f>
        <v>0.1980359463190807</v>
      </c>
      <c r="W81" s="5"/>
      <c r="X81" s="5">
        <f>+P81-T81</f>
        <v>332010.83999999997</v>
      </c>
      <c r="Y81" s="5"/>
      <c r="Z81" s="13">
        <f>IF(T81=0,0,X81/T81)</f>
        <v>70.912940121103375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293</v>
      </c>
      <c r="C83" s="28"/>
      <c r="D83" s="33">
        <f>+D79-D81</f>
        <v>151932.65000000002</v>
      </c>
      <c r="E83" s="15"/>
      <c r="F83" s="34">
        <f>IF(D$12=0,0,D83/D$12)</f>
        <v>0.33237967356873155</v>
      </c>
      <c r="G83" s="15"/>
      <c r="H83" s="33">
        <f>+H79-H81</f>
        <v>-46697.30999999999</v>
      </c>
      <c r="I83" s="15"/>
      <c r="J83" s="34">
        <f>IF(H$12=0,0,H83/H$12)</f>
        <v>0</v>
      </c>
      <c r="K83" s="17"/>
      <c r="L83" s="33">
        <f>D83-H83</f>
        <v>198629.96000000002</v>
      </c>
      <c r="M83" s="17"/>
      <c r="N83" s="34">
        <f>IF(H83=0,0,L83/H83)</f>
        <v>-4.253563213812531</v>
      </c>
      <c r="O83" s="27"/>
      <c r="P83" s="33">
        <f>+P79-P81</f>
        <v>600282.76000000047</v>
      </c>
      <c r="Q83" s="15"/>
      <c r="R83" s="34">
        <f>IF(P$12=0,0,P83/P$12)</f>
        <v>0.2225438748507505</v>
      </c>
      <c r="S83" s="15"/>
      <c r="T83" s="33">
        <f>+T79-T81</f>
        <v>-420979.73</v>
      </c>
      <c r="U83" s="15"/>
      <c r="V83" s="34">
        <f>IF(T$12=0,0,T83/T$12)</f>
        <v>-17.80649498856269</v>
      </c>
      <c r="W83" s="17"/>
      <c r="X83" s="33">
        <f>P83-T83</f>
        <v>1021262.4900000005</v>
      </c>
      <c r="Y83" s="17"/>
      <c r="Z83" s="34">
        <f>IF(T83=0,0,X83/T83)</f>
        <v>-2.4259184403011531</v>
      </c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296</v>
      </c>
      <c r="C86" s="28"/>
      <c r="D86" s="35">
        <f>SUM(D83:D85)</f>
        <v>151932.65000000002</v>
      </c>
      <c r="E86" s="15"/>
      <c r="F86" s="29">
        <f>IF(D$12=0,0,D86/D$12)</f>
        <v>0.33237967356873155</v>
      </c>
      <c r="G86" s="15"/>
      <c r="H86" s="35">
        <f>SUM(H83:H85)</f>
        <v>-46697.30999999999</v>
      </c>
      <c r="I86" s="15"/>
      <c r="J86" s="29">
        <f>IF(H$12=0,0,H86/H$12)</f>
        <v>0</v>
      </c>
      <c r="K86" s="17"/>
      <c r="L86" s="35">
        <f>+D86-H86</f>
        <v>198629.96000000002</v>
      </c>
      <c r="M86" s="17"/>
      <c r="N86" s="29">
        <f>IF(H86=0,0,L86/H86)</f>
        <v>-4.253563213812531</v>
      </c>
      <c r="O86" s="27"/>
      <c r="P86" s="35">
        <f>SUM(P83:P85)</f>
        <v>600282.76000000047</v>
      </c>
      <c r="Q86" s="15"/>
      <c r="R86" s="29">
        <f>IF(P$12=0,0,P86/P$12)</f>
        <v>0.2225438748507505</v>
      </c>
      <c r="S86" s="15"/>
      <c r="T86" s="35">
        <f>SUM(T83:T85)</f>
        <v>-420979.73</v>
      </c>
      <c r="U86" s="15"/>
      <c r="V86" s="29">
        <f>IF(T$12=0,0,T86/T$12)</f>
        <v>-17.80649498856269</v>
      </c>
      <c r="W86" s="17"/>
      <c r="X86" s="35">
        <f>+P86-T86</f>
        <v>1021262.4900000005</v>
      </c>
      <c r="Y86" s="17"/>
      <c r="Z86" s="29">
        <f>IF(T86=0,0,X86/T86)</f>
        <v>-2.4259184403011531</v>
      </c>
    </row>
    <row r="87" spans="1:26" ht="15" customHeight="1" x14ac:dyDescent="0.3">
      <c r="A87" s="10"/>
      <c r="C87" s="10"/>
      <c r="D87" s="18"/>
      <c r="E87" s="18"/>
      <c r="G87" s="18"/>
      <c r="H87" s="18"/>
      <c r="I87" s="18"/>
      <c r="J87" s="41"/>
      <c r="K87" s="18"/>
      <c r="L87" s="18"/>
      <c r="M87" s="18"/>
      <c r="P87" s="18"/>
      <c r="Q87" s="18"/>
      <c r="R87" s="41"/>
      <c r="S87" s="18"/>
      <c r="T87" s="18"/>
      <c r="U87" s="18"/>
      <c r="V87" s="41"/>
      <c r="W87" s="18"/>
      <c r="X87" s="18"/>
    </row>
    <row r="88" spans="1:26" ht="15" customHeight="1" x14ac:dyDescent="0.3">
      <c r="A88" s="10"/>
      <c r="B88" s="50">
        <v>44634.887810300927</v>
      </c>
      <c r="D88" s="18"/>
      <c r="E88" s="18"/>
      <c r="G88" s="18"/>
      <c r="H88" s="18"/>
      <c r="I88" s="18"/>
      <c r="J88" s="41"/>
      <c r="K88" s="18"/>
      <c r="L88" s="18"/>
      <c r="M88" s="18"/>
      <c r="P88" s="18"/>
      <c r="Q88" s="18"/>
      <c r="R88" s="41"/>
      <c r="S88" s="18"/>
      <c r="T88" s="18"/>
      <c r="U88" s="18"/>
      <c r="V88" s="41"/>
      <c r="W88" s="18"/>
      <c r="X88" s="18"/>
    </row>
    <row r="89" spans="1:26" ht="15" customHeight="1" x14ac:dyDescent="0.3">
      <c r="A89" s="10"/>
      <c r="B89" s="58" t="s">
        <v>297</v>
      </c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  <row r="90" spans="1:26" ht="15" customHeight="1" x14ac:dyDescent="0.3">
      <c r="A90" s="10"/>
      <c r="B90" s="56"/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3"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55424-669C-BFBA-7665-85F73881B166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","435"," - ","Ground Floor Coffee House")</f>
        <v>Department 435 - Ground Floor Coffee House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7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1" cm="1">
        <f t="array" ref="D18">SUM(OSRRefD22x_0)</f>
        <v>0</v>
      </c>
      <c r="E18" s="21"/>
      <c r="F18" s="30">
        <f>IF(D$12=0,0,D18/D$12)</f>
        <v>0</v>
      </c>
      <c r="G18" s="21"/>
      <c r="H18" s="21" cm="1">
        <f t="array" ref="H18">SUM(OSRRefH22x_0)</f>
        <v>0</v>
      </c>
      <c r="I18" s="21"/>
      <c r="J18" s="30">
        <f>IF(H$12=0,0,H18/H$12)</f>
        <v>0</v>
      </c>
      <c r="K18" s="5"/>
      <c r="L18" s="21">
        <f>+D18-H18</f>
        <v>0</v>
      </c>
      <c r="M18" s="5"/>
      <c r="N18" s="30">
        <f>IF(H18=0,0,L18/H18)</f>
        <v>0</v>
      </c>
      <c r="O18" s="11"/>
      <c r="P18" s="21" cm="1">
        <f t="array" ref="P18">SUM(OSRRefP22x_0)</f>
        <v>0.28000000000000003</v>
      </c>
      <c r="Q18" s="21"/>
      <c r="R18" s="30">
        <f>IF(P$12=0,0,P18/P$12)</f>
        <v>0</v>
      </c>
      <c r="S18" s="21"/>
      <c r="T18" s="21" cm="1">
        <f t="array" ref="T18">SUM(OSRRefT22x_0)</f>
        <v>178.69</v>
      </c>
      <c r="U18" s="21"/>
      <c r="V18" s="30">
        <f>IF(T$12=0,0,T18/T$12)</f>
        <v>0</v>
      </c>
      <c r="W18" s="5"/>
      <c r="X18" s="21">
        <f>+P18-T18</f>
        <v>-178.41</v>
      </c>
      <c r="Y18" s="5"/>
      <c r="Z18" s="30">
        <f>IF(T18=0,0,X18/T18)</f>
        <v>-0.99843304046113379</v>
      </c>
    </row>
    <row r="19" spans="1:26" s="68" customFormat="1" ht="15" customHeight="1" outlineLevel="1" collapsed="1" x14ac:dyDescent="0.3">
      <c r="A19" s="25"/>
      <c r="B19" s="14" t="str">
        <f>CONCATENATE("     ","Bank/card Fees                                    ")</f>
        <v xml:space="preserve">     Bank/card Fees        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0.28000000000000003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0.28000000000000003</v>
      </c>
      <c r="Y19" s="2"/>
      <c r="Z19" s="6">
        <f>IF(T19=0,0,X19/T19)</f>
        <v>0</v>
      </c>
    </row>
    <row r="20" spans="1:26" s="69" customFormat="1" ht="15" hidden="1" customHeight="1" outlineLevel="2" x14ac:dyDescent="0.3">
      <c r="A20" s="26"/>
      <c r="B20" s="12" t="str">
        <f>CONCATENATE("          ","6381"," - ","BANK/CREDIT CARD FEES")</f>
        <v xml:space="preserve">          6381 - BANK/CREDIT CARD FEES</v>
      </c>
      <c r="C20" s="12"/>
      <c r="D20" s="8"/>
      <c r="E20" s="3"/>
      <c r="F20" s="7">
        <f>IF(D$12=0,0,D20/D$12)</f>
        <v>0</v>
      </c>
      <c r="G20" s="3"/>
      <c r="H20" s="8"/>
      <c r="I20" s="3"/>
      <c r="J20" s="7">
        <f>IF(H$12=0,0,H20/H$12)</f>
        <v>0</v>
      </c>
      <c r="K20" s="3"/>
      <c r="L20" s="8">
        <f>+D20-H20</f>
        <v>0</v>
      </c>
      <c r="M20" s="3"/>
      <c r="N20" s="7">
        <f>IF(H20=0,0,L20/H20)</f>
        <v>0</v>
      </c>
      <c r="O20" s="12"/>
      <c r="P20" s="8">
        <v>0.28000000000000003</v>
      </c>
      <c r="Q20" s="3"/>
      <c r="R20" s="7">
        <f>IF(P$12=0,0,P20/P$12)</f>
        <v>0</v>
      </c>
      <c r="S20" s="3"/>
      <c r="T20" s="8"/>
      <c r="U20" s="3"/>
      <c r="V20" s="7">
        <f>IF(T$12=0,0,T20/T$12)</f>
        <v>0</v>
      </c>
      <c r="W20" s="3"/>
      <c r="X20" s="8">
        <f>+P20-T20</f>
        <v>0.28000000000000003</v>
      </c>
      <c r="Y20" s="3"/>
      <c r="Z20" s="7">
        <f>IF(T20=0,0,X20/T20)</f>
        <v>0</v>
      </c>
    </row>
    <row r="21" spans="1:26" s="68" customFormat="1" ht="15" customHeight="1" outlineLevel="1" collapsed="1" x14ac:dyDescent="0.3">
      <c r="A21" s="25"/>
      <c r="B21" s="14" t="str">
        <f>CONCATENATE("     ","Telephone/Data Lines                              ")</f>
        <v xml:space="preserve">     Telephone/Data Lines                              </v>
      </c>
      <c r="C21" s="14"/>
      <c r="D21" s="2">
        <f>SUM(OSRRefD22_1x_0)</f>
        <v>0</v>
      </c>
      <c r="E21" s="2"/>
      <c r="F21" s="6">
        <f>IF(D$12=0,0,D21/D$12)</f>
        <v>0</v>
      </c>
      <c r="G21" s="2"/>
      <c r="H21" s="2">
        <f>SUM(OSRRefH22_1x_0)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SUM(OSRRefP22_1x_0)</f>
        <v>0</v>
      </c>
      <c r="Q21" s="2"/>
      <c r="R21" s="6">
        <f>IF(P$12=0,0,P21/P$12)</f>
        <v>0</v>
      </c>
      <c r="S21" s="2"/>
      <c r="T21" s="2">
        <f>SUM(OSRRefT22_1x_0)</f>
        <v>178.69</v>
      </c>
      <c r="U21" s="2"/>
      <c r="V21" s="6">
        <f>IF(T$12=0,0,T21/T$12)</f>
        <v>0</v>
      </c>
      <c r="W21" s="2"/>
      <c r="X21" s="2">
        <f>+P21-T21</f>
        <v>-178.69</v>
      </c>
      <c r="Y21" s="2"/>
      <c r="Z21" s="6">
        <f>IF(T21=0,0,X21/T21)</f>
        <v>-1</v>
      </c>
    </row>
    <row r="22" spans="1:26" s="69" customFormat="1" ht="15" hidden="1" customHeight="1" outlineLevel="2" x14ac:dyDescent="0.3">
      <c r="A22" s="26"/>
      <c r="B22" s="12" t="str">
        <f>CONCATENATE("          ","6309"," - ","TELEPHONE")</f>
        <v xml:space="preserve">          6309 - TELEPHONE</v>
      </c>
      <c r="C22" s="12"/>
      <c r="D22" s="8"/>
      <c r="E22" s="3"/>
      <c r="F22" s="7">
        <f>IF(D$12=0,0,D22/D$12)</f>
        <v>0</v>
      </c>
      <c r="G22" s="3"/>
      <c r="H22" s="8"/>
      <c r="I22" s="3"/>
      <c r="J22" s="7">
        <f>IF(H$12=0,0,H22/H$12)</f>
        <v>0</v>
      </c>
      <c r="K22" s="3"/>
      <c r="L22" s="8">
        <f>+D22-H22</f>
        <v>0</v>
      </c>
      <c r="M22" s="3"/>
      <c r="N22" s="7">
        <f>IF(H22=0,0,L22/H22)</f>
        <v>0</v>
      </c>
      <c r="O22" s="12"/>
      <c r="P22" s="8"/>
      <c r="Q22" s="3"/>
      <c r="R22" s="7">
        <f>IF(P$12=0,0,P22/P$12)</f>
        <v>0</v>
      </c>
      <c r="S22" s="3"/>
      <c r="T22" s="8">
        <v>178.69</v>
      </c>
      <c r="U22" s="3"/>
      <c r="V22" s="7">
        <f>IF(T$12=0,0,T22/T$12)</f>
        <v>0</v>
      </c>
      <c r="W22" s="3"/>
      <c r="X22" s="8">
        <f>+P22-T22</f>
        <v>-178.69</v>
      </c>
      <c r="Y22" s="3"/>
      <c r="Z22" s="7">
        <f>IF(T22=0,0,X22/T22)</f>
        <v>-1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x14ac:dyDescent="0.3">
      <c r="A24" s="11"/>
      <c r="B24" s="27" t="s">
        <v>290</v>
      </c>
      <c r="C24" s="11"/>
      <c r="D24" s="5">
        <f>SUM(0)</f>
        <v>0</v>
      </c>
      <c r="E24" s="5"/>
      <c r="F24" s="13">
        <f>IF(D$12=0,0,D24/D$12)</f>
        <v>0</v>
      </c>
      <c r="G24" s="5"/>
      <c r="H24" s="5">
        <f>SUM(0)</f>
        <v>0</v>
      </c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>
        <f>SUM(0)</f>
        <v>0</v>
      </c>
      <c r="Q24" s="5"/>
      <c r="R24" s="13">
        <f>IF(P$12=0,0,P24/P$12)</f>
        <v>0</v>
      </c>
      <c r="S24" s="5"/>
      <c r="T24" s="5">
        <f>SUM(0)</f>
        <v>0</v>
      </c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8" t="s">
        <v>291</v>
      </c>
      <c r="C26" s="28"/>
      <c r="D26" s="23">
        <f>+D16-D18+D24</f>
        <v>0</v>
      </c>
      <c r="E26" s="15"/>
      <c r="F26" s="22">
        <f>IF(D$12=0,0,D26/D$12)</f>
        <v>0</v>
      </c>
      <c r="G26" s="15"/>
      <c r="H26" s="23">
        <f>+H16-H18+H24</f>
        <v>0</v>
      </c>
      <c r="I26" s="15"/>
      <c r="J26" s="22">
        <f>IF(H$12=0,0,H26/H$12)</f>
        <v>0</v>
      </c>
      <c r="K26" s="17"/>
      <c r="L26" s="23">
        <f>+D26-H26</f>
        <v>0</v>
      </c>
      <c r="M26" s="17"/>
      <c r="N26" s="22">
        <f>IF(H26=0,0,L26/H26)</f>
        <v>0</v>
      </c>
      <c r="O26" s="27"/>
      <c r="P26" s="23">
        <f>+P16-P18+P24</f>
        <v>-0.28000000000000003</v>
      </c>
      <c r="Q26" s="15"/>
      <c r="R26" s="22">
        <f>IF(P$12=0,0,P26/P$12)</f>
        <v>0</v>
      </c>
      <c r="S26" s="15"/>
      <c r="T26" s="23">
        <f>+T16-T18+T24</f>
        <v>-178.69</v>
      </c>
      <c r="U26" s="15"/>
      <c r="V26" s="22">
        <f>IF(T$12=0,0,T26/T$12)</f>
        <v>0</v>
      </c>
      <c r="W26" s="17"/>
      <c r="X26" s="23">
        <f>+P26-T26</f>
        <v>178.41</v>
      </c>
      <c r="Y26" s="17"/>
      <c r="Z26" s="22">
        <f>IF(T26=0,0,X26/T26)</f>
        <v>-0.99843304046113379</v>
      </c>
    </row>
    <row r="27" spans="1:26" ht="15" customHeight="1" x14ac:dyDescent="0.3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292</v>
      </c>
      <c r="C28" s="11"/>
      <c r="D28" s="5"/>
      <c r="E28" s="5"/>
      <c r="F28" s="13">
        <f>IF(D$12=0,0,D28/D$12)</f>
        <v>0</v>
      </c>
      <c r="G28" s="5"/>
      <c r="H28" s="5"/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/>
      <c r="Q28" s="5"/>
      <c r="R28" s="13">
        <f>IF(P$12=0,0,P28/P$12)</f>
        <v>0</v>
      </c>
      <c r="S28" s="5"/>
      <c r="T28" s="5"/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293</v>
      </c>
      <c r="C30" s="28"/>
      <c r="D30" s="33">
        <f>+D26-D28</f>
        <v>0</v>
      </c>
      <c r="E30" s="15"/>
      <c r="F30" s="34">
        <f>IF(D$12=0,0,D30/D$12)</f>
        <v>0</v>
      </c>
      <c r="G30" s="15"/>
      <c r="H30" s="33">
        <f>+H26-H28</f>
        <v>0</v>
      </c>
      <c r="I30" s="15"/>
      <c r="J30" s="34">
        <f>IF(H$12=0,0,H30/H$12)</f>
        <v>0</v>
      </c>
      <c r="K30" s="17"/>
      <c r="L30" s="33">
        <f>D30-H30</f>
        <v>0</v>
      </c>
      <c r="M30" s="17"/>
      <c r="N30" s="34">
        <f>IF(H30=0,0,L30/H30)</f>
        <v>0</v>
      </c>
      <c r="O30" s="27"/>
      <c r="P30" s="33">
        <f>+P26-P28</f>
        <v>-0.28000000000000003</v>
      </c>
      <c r="Q30" s="15"/>
      <c r="R30" s="34">
        <f>IF(P$12=0,0,P30/P$12)</f>
        <v>0</v>
      </c>
      <c r="S30" s="15"/>
      <c r="T30" s="33">
        <f>+T26-T28</f>
        <v>-178.69</v>
      </c>
      <c r="U30" s="15"/>
      <c r="V30" s="34">
        <f>IF(T$12=0,0,T30/T$12)</f>
        <v>0</v>
      </c>
      <c r="W30" s="17"/>
      <c r="X30" s="33">
        <f>P30-T30</f>
        <v>178.41</v>
      </c>
      <c r="Y30" s="17"/>
      <c r="Z30" s="34">
        <f>IF(T30=0,0,X30/T30)</f>
        <v>-0.99843304046113379</v>
      </c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8" t="s">
        <v>296</v>
      </c>
      <c r="C33" s="28"/>
      <c r="D33" s="35">
        <f>SUM(D30:D32)</f>
        <v>0</v>
      </c>
      <c r="E33" s="15"/>
      <c r="F33" s="29">
        <f>IF(D$12=0,0,D33/D$12)</f>
        <v>0</v>
      </c>
      <c r="G33" s="15"/>
      <c r="H33" s="35">
        <f>SUM(H30:H32)</f>
        <v>0</v>
      </c>
      <c r="I33" s="15"/>
      <c r="J33" s="29">
        <f>IF(H$12=0,0,H33/H$12)</f>
        <v>0</v>
      </c>
      <c r="K33" s="17"/>
      <c r="L33" s="35">
        <f>+D33-H33</f>
        <v>0</v>
      </c>
      <c r="M33" s="17"/>
      <c r="N33" s="29">
        <f>IF(H33=0,0,L33/H33)</f>
        <v>0</v>
      </c>
      <c r="O33" s="27"/>
      <c r="P33" s="35">
        <f>SUM(P30:P32)</f>
        <v>-0.28000000000000003</v>
      </c>
      <c r="Q33" s="15"/>
      <c r="R33" s="29">
        <f>IF(P$12=0,0,P33/P$12)</f>
        <v>0</v>
      </c>
      <c r="S33" s="15"/>
      <c r="T33" s="35">
        <f>SUM(T30:T32)</f>
        <v>-178.69</v>
      </c>
      <c r="U33" s="15"/>
      <c r="V33" s="29">
        <f>IF(T$12=0,0,T33/T$12)</f>
        <v>0</v>
      </c>
      <c r="W33" s="17"/>
      <c r="X33" s="35">
        <f>+P33-T33</f>
        <v>178.41</v>
      </c>
      <c r="Y33" s="17"/>
      <c r="Z33" s="29">
        <f>IF(T33=0,0,X33/T33)</f>
        <v>-0.99843304046113379</v>
      </c>
    </row>
    <row r="34" spans="1:26" ht="15" customHeight="1" x14ac:dyDescent="0.3">
      <c r="A34" s="10"/>
      <c r="C34" s="10"/>
      <c r="D34" s="18"/>
      <c r="E34" s="18"/>
      <c r="G34" s="18"/>
      <c r="H34" s="18"/>
      <c r="I34" s="18"/>
      <c r="J34" s="41"/>
      <c r="K34" s="18"/>
      <c r="L34" s="18"/>
      <c r="M34" s="18"/>
      <c r="P34" s="18"/>
      <c r="Q34" s="18"/>
      <c r="R34" s="41"/>
      <c r="S34" s="18"/>
      <c r="T34" s="18"/>
      <c r="U34" s="18"/>
      <c r="V34" s="41"/>
      <c r="W34" s="18"/>
      <c r="X34" s="18"/>
    </row>
    <row r="35" spans="1:26" ht="15" customHeight="1" x14ac:dyDescent="0.3">
      <c r="A35" s="10"/>
      <c r="B35" s="50">
        <v>44634.887810300927</v>
      </c>
      <c r="D35" s="18"/>
      <c r="E35" s="18"/>
      <c r="G35" s="18"/>
      <c r="H35" s="18"/>
      <c r="I35" s="18"/>
      <c r="J35" s="41"/>
      <c r="K35" s="18"/>
      <c r="L35" s="18"/>
      <c r="M35" s="18"/>
      <c r="P35" s="18"/>
      <c r="Q35" s="18"/>
      <c r="R35" s="41"/>
      <c r="S35" s="18"/>
      <c r="T35" s="18"/>
      <c r="U35" s="18"/>
      <c r="V35" s="41"/>
      <c r="W35" s="18"/>
      <c r="X35" s="18"/>
    </row>
    <row r="36" spans="1:26" ht="15" customHeight="1" x14ac:dyDescent="0.3">
      <c r="A36" s="10"/>
      <c r="B36" s="58" t="s">
        <v>297</v>
      </c>
      <c r="D36" s="18"/>
      <c r="E36" s="18"/>
      <c r="G36" s="18"/>
      <c r="H36" s="18"/>
      <c r="I36" s="18"/>
      <c r="J36" s="41"/>
      <c r="K36" s="18"/>
      <c r="L36" s="18"/>
      <c r="M36" s="18"/>
      <c r="P36" s="18"/>
      <c r="Q36" s="18"/>
      <c r="R36" s="41"/>
      <c r="S36" s="18"/>
      <c r="T36" s="18"/>
      <c r="U36" s="18"/>
      <c r="V36" s="41"/>
      <c r="W36" s="18"/>
      <c r="X36" s="18"/>
    </row>
    <row r="37" spans="1:26" ht="15" customHeight="1" x14ac:dyDescent="0.3">
      <c r="A37" s="10"/>
      <c r="B37" s="56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D0CC8-17D8-1A39-C386-73F9E237EA34}">
  <sheetPr>
    <tabColor rgb="FF92D050"/>
    <outlinePr summaryBelow="0" summaryRight="0"/>
  </sheetPr>
  <dimension ref="A2:Z9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","444"," - ","Parkside Dining Hall")</f>
        <v>Department 444 - Parkside Dining Hall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677964.46999999986</v>
      </c>
      <c r="E12" s="5"/>
      <c r="F12" s="13"/>
      <c r="G12" s="5"/>
      <c r="H12" s="5">
        <f>SUM(OSRRefH13x_0)</f>
        <v>84642.36</v>
      </c>
      <c r="I12" s="5"/>
      <c r="J12" s="13"/>
      <c r="K12" s="5"/>
      <c r="L12" s="5">
        <f>+D12-H12</f>
        <v>593322.10999999987</v>
      </c>
      <c r="M12" s="5"/>
      <c r="N12" s="13">
        <f>IF(H12=0,0,L12/H12)</f>
        <v>7.0097538631956846</v>
      </c>
      <c r="O12" s="11"/>
      <c r="P12" s="5">
        <f>SUM(OSRRefP13x_0)</f>
        <v>3849469.9000000004</v>
      </c>
      <c r="Q12" s="5"/>
      <c r="R12" s="13"/>
      <c r="S12" s="5"/>
      <c r="T12" s="5">
        <f>SUM(OSRRefT13x_0)</f>
        <v>735751.45000000007</v>
      </c>
      <c r="U12" s="5"/>
      <c r="V12" s="13"/>
      <c r="W12" s="5"/>
      <c r="X12" s="5">
        <f>+P12-T12</f>
        <v>3113718.45</v>
      </c>
      <c r="Y12" s="5"/>
      <c r="Z12" s="13">
        <f>IF(T12=0,0,X12/T12)</f>
        <v>4.2320248910144862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--111.21</f>
        <v>111.21</v>
      </c>
      <c r="E13" s="3"/>
      <c r="F13" s="20"/>
      <c r="G13" s="3"/>
      <c r="H13" s="3">
        <f>--180.69</f>
        <v>180.69</v>
      </c>
      <c r="I13" s="3"/>
      <c r="J13" s="20"/>
      <c r="K13" s="3"/>
      <c r="L13" s="3">
        <f>+D13-H13</f>
        <v>-69.48</v>
      </c>
      <c r="M13" s="3"/>
      <c r="N13" s="20">
        <f>IF(H13=0,0,L13/H13)</f>
        <v>-0.38452598372903873</v>
      </c>
      <c r="O13" s="12"/>
      <c r="P13" s="3">
        <f>--746.7</f>
        <v>746.7</v>
      </c>
      <c r="Q13" s="3"/>
      <c r="R13" s="20"/>
      <c r="S13" s="3"/>
      <c r="T13" s="3">
        <f>--542.56</f>
        <v>542.55999999999995</v>
      </c>
      <c r="U13" s="3"/>
      <c r="V13" s="20"/>
      <c r="W13" s="3"/>
      <c r="X13" s="3">
        <f>+P13-T13</f>
        <v>204.1400000000001</v>
      </c>
      <c r="Y13" s="3"/>
      <c r="Z13" s="20">
        <f>IF(T13=0,0,X13/T13)</f>
        <v>0.37625331760542635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--674912.57</f>
        <v>674912.57</v>
      </c>
      <c r="E14" s="3"/>
      <c r="F14" s="20"/>
      <c r="G14" s="3"/>
      <c r="H14" s="3">
        <f>--78596.26</f>
        <v>78596.259999999995</v>
      </c>
      <c r="I14" s="3"/>
      <c r="J14" s="20"/>
      <c r="K14" s="3"/>
      <c r="L14" s="3">
        <f>+D14-H14</f>
        <v>596316.30999999994</v>
      </c>
      <c r="M14" s="3"/>
      <c r="N14" s="20">
        <f>IF(H14=0,0,L14/H14)</f>
        <v>7.587082515122221</v>
      </c>
      <c r="O14" s="12"/>
      <c r="P14" s="3">
        <f>--3830984.75</f>
        <v>3830984.75</v>
      </c>
      <c r="Q14" s="3"/>
      <c r="R14" s="20"/>
      <c r="S14" s="3"/>
      <c r="T14" s="3">
        <f>--704702.59</f>
        <v>704702.59</v>
      </c>
      <c r="U14" s="3"/>
      <c r="V14" s="20"/>
      <c r="W14" s="3"/>
      <c r="X14" s="3">
        <f>+P14-T14</f>
        <v>3126282.16</v>
      </c>
      <c r="Y14" s="3"/>
      <c r="Z14" s="20">
        <f>IF(T14=0,0,X14/T14)</f>
        <v>4.4363142755016698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--2940.69</f>
        <v>2940.69</v>
      </c>
      <c r="E15" s="3"/>
      <c r="F15" s="20"/>
      <c r="G15" s="3"/>
      <c r="H15" s="3">
        <f>--5865.41</f>
        <v>5865.41</v>
      </c>
      <c r="I15" s="3"/>
      <c r="J15" s="20"/>
      <c r="K15" s="3"/>
      <c r="L15" s="3">
        <f>+D15-H15</f>
        <v>-2924.72</v>
      </c>
      <c r="M15" s="3"/>
      <c r="N15" s="20">
        <f>IF(H15=0,0,L15/H15)</f>
        <v>-0.49863862884265547</v>
      </c>
      <c r="O15" s="12"/>
      <c r="P15" s="3">
        <f>--17738.45</f>
        <v>17738.45</v>
      </c>
      <c r="Q15" s="3"/>
      <c r="R15" s="20"/>
      <c r="S15" s="3"/>
      <c r="T15" s="3">
        <f>--30506.3</f>
        <v>30506.3</v>
      </c>
      <c r="U15" s="3"/>
      <c r="V15" s="20"/>
      <c r="W15" s="3"/>
      <c r="X15" s="3">
        <f>+P15-T15</f>
        <v>-12767.849999999999</v>
      </c>
      <c r="Y15" s="3"/>
      <c r="Z15" s="20">
        <f>IF(T15=0,0,X15/T15)</f>
        <v>-0.4185315820010948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152052.43</v>
      </c>
      <c r="E17" s="5"/>
      <c r="F17" s="13">
        <f>IF(D$12=0,0,D17/D$12)</f>
        <v>0.22427787403077337</v>
      </c>
      <c r="G17" s="5"/>
      <c r="H17" s="5">
        <f>SUM(OSRRefH16x_0)</f>
        <v>42241.95</v>
      </c>
      <c r="I17" s="5"/>
      <c r="J17" s="13">
        <f>IF(H$12=0,0,H17/H$12)</f>
        <v>0.49906394386923991</v>
      </c>
      <c r="K17" s="5"/>
      <c r="L17" s="5">
        <f>+D17-H17</f>
        <v>109810.48</v>
      </c>
      <c r="M17" s="5"/>
      <c r="N17" s="13">
        <f>IF(H17=0,0,L17/H17)</f>
        <v>2.5995599161497043</v>
      </c>
      <c r="O17" s="11"/>
      <c r="P17" s="5">
        <f>SUM(OSRRefP16x_0)</f>
        <v>925868.66</v>
      </c>
      <c r="Q17" s="5"/>
      <c r="R17" s="13">
        <f>IF(P$12=0,0,P17/P$12)</f>
        <v>0.24051848281759522</v>
      </c>
      <c r="S17" s="5"/>
      <c r="T17" s="5">
        <f>SUM(OSRRefT16x_0)</f>
        <v>299766.40999999997</v>
      </c>
      <c r="U17" s="5"/>
      <c r="V17" s="13">
        <f>IF(T$12=0,0,T17/T$12)</f>
        <v>0.4074289082270921</v>
      </c>
      <c r="W17" s="5"/>
      <c r="X17" s="5">
        <f>+P17-T17</f>
        <v>626102.25</v>
      </c>
      <c r="Y17" s="5"/>
      <c r="Z17" s="13">
        <f>IF(T17=0,0,X17/T17)</f>
        <v>2.0886337798821426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155989.43</v>
      </c>
      <c r="E18" s="3"/>
      <c r="F18" s="20">
        <f>IF(D$12=0,0,D18/D$12)</f>
        <v>0.23008496300698475</v>
      </c>
      <c r="G18" s="3"/>
      <c r="H18" s="3">
        <v>49319.95</v>
      </c>
      <c r="I18" s="3"/>
      <c r="J18" s="20">
        <f>IF(H$12=0,0,H18/H$12)</f>
        <v>0.58268637594698447</v>
      </c>
      <c r="K18" s="3"/>
      <c r="L18" s="3">
        <f>+D18-H18</f>
        <v>106669.48</v>
      </c>
      <c r="M18" s="3"/>
      <c r="N18" s="20">
        <f>IF(H18=0,0,L18/H18)</f>
        <v>2.1628059233636692</v>
      </c>
      <c r="O18" s="12"/>
      <c r="P18" s="3">
        <v>936699.66</v>
      </c>
      <c r="Q18" s="3"/>
      <c r="R18" s="20">
        <f>IF(P$12=0,0,P18/P$12)</f>
        <v>0.24333211697537885</v>
      </c>
      <c r="S18" s="3"/>
      <c r="T18" s="3">
        <v>320588.11</v>
      </c>
      <c r="U18" s="3"/>
      <c r="V18" s="20">
        <f>IF(T$12=0,0,T18/T$12)</f>
        <v>0.43572881847531519</v>
      </c>
      <c r="W18" s="3"/>
      <c r="X18" s="3">
        <f>+P18-T18</f>
        <v>616111.55000000005</v>
      </c>
      <c r="Y18" s="3"/>
      <c r="Z18" s="20">
        <f>IF(T18=0,0,X18/T18)</f>
        <v>1.9218165951319905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-3937</v>
      </c>
      <c r="E19" s="3"/>
      <c r="F19" s="20">
        <f>IF(D$12=0,0,D19/D$12)</f>
        <v>-5.8070889762113949E-3</v>
      </c>
      <c r="G19" s="3"/>
      <c r="H19" s="3">
        <v>-7078</v>
      </c>
      <c r="I19" s="3"/>
      <c r="J19" s="20">
        <f>IF(H$12=0,0,H19/H$12)</f>
        <v>-8.362243207774453E-2</v>
      </c>
      <c r="K19" s="3"/>
      <c r="L19" s="3">
        <f>+D19-H19</f>
        <v>3141</v>
      </c>
      <c r="M19" s="3"/>
      <c r="N19" s="20">
        <f>IF(H19=0,0,L19/H19)</f>
        <v>-0.44376942639163608</v>
      </c>
      <c r="O19" s="12"/>
      <c r="P19" s="3">
        <v>-10831</v>
      </c>
      <c r="Q19" s="3"/>
      <c r="R19" s="20">
        <f>IF(P$12=0,0,P19/P$12)</f>
        <v>-2.8136341577836466E-3</v>
      </c>
      <c r="S19" s="3"/>
      <c r="T19" s="3">
        <v>-20821.7</v>
      </c>
      <c r="U19" s="3"/>
      <c r="V19" s="20">
        <f>IF(T$12=0,0,T19/T$12)</f>
        <v>-2.8299910248223089E-2</v>
      </c>
      <c r="W19" s="3"/>
      <c r="X19" s="3">
        <f>+P19-T19</f>
        <v>9990.7000000000007</v>
      </c>
      <c r="Y19" s="3"/>
      <c r="Z19" s="20">
        <f>IF(T19=0,0,X19/T19)</f>
        <v>-0.47982153234366071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3">
        <f>D12-D17</f>
        <v>525912.0399999998</v>
      </c>
      <c r="E21" s="15"/>
      <c r="F21" s="22">
        <f>IF(D$12=0,0,D21/D$12)</f>
        <v>0.77572212596922652</v>
      </c>
      <c r="G21" s="15"/>
      <c r="H21" s="23">
        <f>H12-H17</f>
        <v>42400.41</v>
      </c>
      <c r="I21" s="15"/>
      <c r="J21" s="22">
        <f>IF(H$12=0,0,H21/H$12)</f>
        <v>0.50093605613076009</v>
      </c>
      <c r="K21" s="17"/>
      <c r="L21" s="23">
        <f>+D21-H21</f>
        <v>483511.62999999977</v>
      </c>
      <c r="M21" s="17"/>
      <c r="N21" s="22">
        <f>IF(H21=0,0,L21/H21)</f>
        <v>11.403465909881525</v>
      </c>
      <c r="O21" s="27"/>
      <c r="P21" s="23">
        <f>P12-P17</f>
        <v>2923601.24</v>
      </c>
      <c r="Q21" s="15"/>
      <c r="R21" s="22">
        <f>IF(P$12=0,0,P21/P$12)</f>
        <v>0.75948151718240475</v>
      </c>
      <c r="S21" s="15"/>
      <c r="T21" s="23">
        <f>T12-T17</f>
        <v>435985.0400000001</v>
      </c>
      <c r="U21" s="15"/>
      <c r="V21" s="22">
        <f>IF(T$12=0,0,T21/T$12)</f>
        <v>0.5925710917729079</v>
      </c>
      <c r="W21" s="17"/>
      <c r="X21" s="23">
        <f>+P21-T21</f>
        <v>2487616.2000000002</v>
      </c>
      <c r="Y21" s="17"/>
      <c r="Z21" s="22">
        <f>IF(T21=0,0,X21/T21)</f>
        <v>5.7057375179662122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1" cm="1">
        <f t="array" ref="D23">SUM(OSRRefD22x_0)</f>
        <v>217995.12999999998</v>
      </c>
      <c r="E23" s="21"/>
      <c r="F23" s="30">
        <f t="shared" ref="F23:F54" si="0">IF(D$12=0,0,D23/D$12)</f>
        <v>0.32154359062503679</v>
      </c>
      <c r="G23" s="21"/>
      <c r="H23" s="21" cm="1">
        <f t="array" ref="H23">SUM(OSRRefH22x_0)</f>
        <v>110408.29000000002</v>
      </c>
      <c r="I23" s="21"/>
      <c r="J23" s="30">
        <f t="shared" ref="J23:J54" si="1">IF(H$12=0,0,H23/H$12)</f>
        <v>1.3044093997379094</v>
      </c>
      <c r="K23" s="5"/>
      <c r="L23" s="21">
        <f t="shared" ref="L23:L54" si="2">+D23-H23</f>
        <v>107586.83999999995</v>
      </c>
      <c r="M23" s="5"/>
      <c r="N23" s="30">
        <f t="shared" ref="N23:N54" si="3">IF(H23=0,0,L23/H23)</f>
        <v>0.97444530659790063</v>
      </c>
      <c r="O23" s="11"/>
      <c r="P23" s="21" cm="1">
        <f t="array" ref="P23">SUM(OSRRefP22x_0)</f>
        <v>1459410.6</v>
      </c>
      <c r="Q23" s="21"/>
      <c r="R23" s="30">
        <f t="shared" ref="R23:R54" si="4">IF(P$12=0,0,P23/P$12)</f>
        <v>0.37911988868908936</v>
      </c>
      <c r="S23" s="21"/>
      <c r="T23" s="21" cm="1">
        <f t="array" ref="T23">SUM(OSRRefT22x_0)</f>
        <v>919331.35000000021</v>
      </c>
      <c r="U23" s="21"/>
      <c r="V23" s="30">
        <f t="shared" ref="V23:V54" si="5">IF(T$12=0,0,T23/T$12)</f>
        <v>1.2495134736057947</v>
      </c>
      <c r="W23" s="5"/>
      <c r="X23" s="21">
        <f t="shared" ref="X23:X54" si="6">+P23-T23</f>
        <v>540079.24999999988</v>
      </c>
      <c r="Y23" s="5"/>
      <c r="Z23" s="30">
        <f t="shared" ref="Z23:Z54" si="7">IF(T23=0,0,X23/T23)</f>
        <v>0.58746963214079428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28763.53</v>
      </c>
      <c r="E24" s="2"/>
      <c r="F24" s="6">
        <f t="shared" si="0"/>
        <v>4.2426308859518855E-2</v>
      </c>
      <c r="G24" s="2"/>
      <c r="H24" s="2">
        <f>SUM(OSRRefH22_0x_0)</f>
        <v>30715.700000000004</v>
      </c>
      <c r="I24" s="2"/>
      <c r="J24" s="6">
        <f t="shared" si="1"/>
        <v>0.36288803856603247</v>
      </c>
      <c r="K24" s="2"/>
      <c r="L24" s="2">
        <f t="shared" si="2"/>
        <v>-1952.1700000000055</v>
      </c>
      <c r="M24" s="2"/>
      <c r="N24" s="6">
        <f t="shared" si="3"/>
        <v>-6.3556096719267513E-2</v>
      </c>
      <c r="O24" s="14"/>
      <c r="P24" s="2">
        <f>SUM(OSRRefP22_0x_0)</f>
        <v>241295.2</v>
      </c>
      <c r="Q24" s="2"/>
      <c r="R24" s="6">
        <f t="shared" si="4"/>
        <v>6.2682708598396877E-2</v>
      </c>
      <c r="S24" s="2"/>
      <c r="T24" s="2">
        <f>SUM(OSRRefT22_0x_0)</f>
        <v>245957.43000000002</v>
      </c>
      <c r="U24" s="2"/>
      <c r="V24" s="6">
        <f t="shared" si="5"/>
        <v>0.33429418317830023</v>
      </c>
      <c r="W24" s="2"/>
      <c r="X24" s="2">
        <f t="shared" si="6"/>
        <v>-4662.2300000000105</v>
      </c>
      <c r="Y24" s="2"/>
      <c r="Z24" s="6">
        <f t="shared" si="7"/>
        <v>-1.8955434686400853E-2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4736.09</v>
      </c>
      <c r="E25" s="3"/>
      <c r="F25" s="7">
        <f t="shared" si="0"/>
        <v>6.985749562952762E-3</v>
      </c>
      <c r="G25" s="3"/>
      <c r="H25" s="8">
        <v>3316.77</v>
      </c>
      <c r="I25" s="3"/>
      <c r="J25" s="7">
        <f t="shared" si="1"/>
        <v>3.9185698508406426E-2</v>
      </c>
      <c r="K25" s="3"/>
      <c r="L25" s="8">
        <f t="shared" si="2"/>
        <v>1419.3200000000002</v>
      </c>
      <c r="M25" s="3"/>
      <c r="N25" s="7">
        <f t="shared" si="3"/>
        <v>0.4279223461379596</v>
      </c>
      <c r="O25" s="12"/>
      <c r="P25" s="8">
        <v>37197.24</v>
      </c>
      <c r="Q25" s="3"/>
      <c r="R25" s="7">
        <f t="shared" si="4"/>
        <v>9.6629512546649587E-3</v>
      </c>
      <c r="S25" s="3"/>
      <c r="T25" s="8">
        <v>28121.53</v>
      </c>
      <c r="U25" s="3"/>
      <c r="V25" s="7">
        <f t="shared" si="5"/>
        <v>3.8221508092168892E-2</v>
      </c>
      <c r="W25" s="3"/>
      <c r="X25" s="8">
        <f t="shared" si="6"/>
        <v>9075.7099999999991</v>
      </c>
      <c r="Y25" s="3"/>
      <c r="Z25" s="7">
        <f t="shared" si="7"/>
        <v>0.32273172903465774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3687.84</v>
      </c>
      <c r="E26" s="3"/>
      <c r="F26" s="7">
        <f t="shared" si="0"/>
        <v>5.4395770917021668E-3</v>
      </c>
      <c r="G26" s="3"/>
      <c r="H26" s="8">
        <v>2419.13</v>
      </c>
      <c r="I26" s="3"/>
      <c r="J26" s="7">
        <f t="shared" si="1"/>
        <v>2.8580606684407196E-2</v>
      </c>
      <c r="K26" s="3"/>
      <c r="L26" s="8">
        <f t="shared" si="2"/>
        <v>1268.71</v>
      </c>
      <c r="M26" s="3"/>
      <c r="N26" s="7">
        <f t="shared" si="3"/>
        <v>0.52444887211518187</v>
      </c>
      <c r="O26" s="12"/>
      <c r="P26" s="8">
        <v>23518.58</v>
      </c>
      <c r="Q26" s="3"/>
      <c r="R26" s="7">
        <f t="shared" si="4"/>
        <v>6.1095632933770953E-3</v>
      </c>
      <c r="S26" s="3"/>
      <c r="T26" s="8">
        <v>19685.22</v>
      </c>
      <c r="U26" s="3"/>
      <c r="V26" s="7">
        <f t="shared" si="5"/>
        <v>2.6755258178560164E-2</v>
      </c>
      <c r="W26" s="3"/>
      <c r="X26" s="8">
        <f t="shared" si="6"/>
        <v>3833.3600000000006</v>
      </c>
      <c r="Y26" s="3"/>
      <c r="Z26" s="7">
        <f t="shared" si="7"/>
        <v>0.19473290113089925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13498.45</v>
      </c>
      <c r="E27" s="3"/>
      <c r="F27" s="7">
        <f t="shared" si="0"/>
        <v>1.9910261669022277E-2</v>
      </c>
      <c r="G27" s="3"/>
      <c r="H27" s="8">
        <v>17691.580000000002</v>
      </c>
      <c r="I27" s="3"/>
      <c r="J27" s="7">
        <f t="shared" si="1"/>
        <v>0.20901567489375297</v>
      </c>
      <c r="K27" s="3"/>
      <c r="L27" s="8">
        <f t="shared" si="2"/>
        <v>-4193.130000000001</v>
      </c>
      <c r="M27" s="3"/>
      <c r="N27" s="7">
        <f t="shared" si="3"/>
        <v>-0.23701274843739228</v>
      </c>
      <c r="O27" s="12"/>
      <c r="P27" s="8">
        <v>117615.9</v>
      </c>
      <c r="Q27" s="3"/>
      <c r="R27" s="7">
        <f t="shared" si="4"/>
        <v>3.0553791315526324E-2</v>
      </c>
      <c r="S27" s="3"/>
      <c r="T27" s="8">
        <v>138386.96</v>
      </c>
      <c r="U27" s="3"/>
      <c r="V27" s="7">
        <f t="shared" si="5"/>
        <v>0.18808927933475358</v>
      </c>
      <c r="W27" s="3"/>
      <c r="X27" s="8">
        <f t="shared" si="6"/>
        <v>-20771.059999999998</v>
      </c>
      <c r="Y27" s="3"/>
      <c r="Z27" s="7">
        <f t="shared" si="7"/>
        <v>-0.1500940551046139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266.33999999999997</v>
      </c>
      <c r="E28" s="3"/>
      <c r="F28" s="7">
        <f t="shared" si="0"/>
        <v>3.9285244549762323E-4</v>
      </c>
      <c r="G28" s="3"/>
      <c r="H28" s="8">
        <v>149.69999999999999</v>
      </c>
      <c r="I28" s="3"/>
      <c r="J28" s="7">
        <f t="shared" si="1"/>
        <v>1.7686179827689113E-3</v>
      </c>
      <c r="K28" s="3"/>
      <c r="L28" s="8">
        <f t="shared" si="2"/>
        <v>116.63999999999999</v>
      </c>
      <c r="M28" s="3"/>
      <c r="N28" s="7">
        <f t="shared" si="3"/>
        <v>0.77915831663326651</v>
      </c>
      <c r="O28" s="12"/>
      <c r="P28" s="8">
        <v>1698.55</v>
      </c>
      <c r="Q28" s="3"/>
      <c r="R28" s="7">
        <f t="shared" si="4"/>
        <v>4.4124257212661925E-4</v>
      </c>
      <c r="S28" s="3"/>
      <c r="T28" s="8">
        <v>1268.25</v>
      </c>
      <c r="U28" s="3"/>
      <c r="V28" s="7">
        <f t="shared" si="5"/>
        <v>1.7237478770853933E-3</v>
      </c>
      <c r="W28" s="3"/>
      <c r="X28" s="8">
        <f t="shared" si="6"/>
        <v>430.29999999999995</v>
      </c>
      <c r="Y28" s="3"/>
      <c r="Z28" s="7">
        <f t="shared" si="7"/>
        <v>0.33928641829292328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1163.51</v>
      </c>
      <c r="E29" s="3"/>
      <c r="F29" s="7">
        <f t="shared" si="0"/>
        <v>1.7161813804195377E-3</v>
      </c>
      <c r="G29" s="3"/>
      <c r="H29" s="8">
        <v>1457.5</v>
      </c>
      <c r="I29" s="3"/>
      <c r="J29" s="7">
        <f t="shared" si="1"/>
        <v>1.721951042007808E-2</v>
      </c>
      <c r="K29" s="3"/>
      <c r="L29" s="8">
        <f t="shared" si="2"/>
        <v>-293.99</v>
      </c>
      <c r="M29" s="3"/>
      <c r="N29" s="7">
        <f t="shared" si="3"/>
        <v>-0.20170840480274443</v>
      </c>
      <c r="O29" s="12"/>
      <c r="P29" s="8">
        <v>11706.58</v>
      </c>
      <c r="Q29" s="3"/>
      <c r="R29" s="7">
        <f t="shared" si="4"/>
        <v>3.0410888522598915E-3</v>
      </c>
      <c r="S29" s="3"/>
      <c r="T29" s="8">
        <v>13184.06</v>
      </c>
      <c r="U29" s="3"/>
      <c r="V29" s="7">
        <f t="shared" si="5"/>
        <v>1.791917637403229E-2</v>
      </c>
      <c r="W29" s="3"/>
      <c r="X29" s="8">
        <f t="shared" si="6"/>
        <v>-1477.4799999999996</v>
      </c>
      <c r="Y29" s="3"/>
      <c r="Z29" s="7">
        <f t="shared" si="7"/>
        <v>-0.11206563076927742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795.2</v>
      </c>
      <c r="E30" s="3"/>
      <c r="F30" s="7">
        <f t="shared" si="0"/>
        <v>1.1729228229320045E-3</v>
      </c>
      <c r="G30" s="3"/>
      <c r="H30" s="8">
        <v>490.44</v>
      </c>
      <c r="I30" s="3"/>
      <c r="J30" s="7">
        <f t="shared" si="1"/>
        <v>5.7942618802216761E-3</v>
      </c>
      <c r="K30" s="3"/>
      <c r="L30" s="8">
        <f t="shared" si="2"/>
        <v>304.76000000000005</v>
      </c>
      <c r="M30" s="3"/>
      <c r="N30" s="7">
        <f t="shared" si="3"/>
        <v>0.62140119076747424</v>
      </c>
      <c r="O30" s="12"/>
      <c r="P30" s="8">
        <v>4097.37</v>
      </c>
      <c r="Q30" s="3"/>
      <c r="R30" s="7">
        <f t="shared" si="4"/>
        <v>1.0643985032848288E-3</v>
      </c>
      <c r="S30" s="3"/>
      <c r="T30" s="8">
        <v>4217.5</v>
      </c>
      <c r="U30" s="3"/>
      <c r="V30" s="7">
        <f t="shared" si="5"/>
        <v>5.7322347105126324E-3</v>
      </c>
      <c r="W30" s="3"/>
      <c r="X30" s="8">
        <f t="shared" si="6"/>
        <v>-120.13000000000011</v>
      </c>
      <c r="Y30" s="3"/>
      <c r="Z30" s="7">
        <f t="shared" si="7"/>
        <v>-2.8483698873740394E-2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2315.2199999999998</v>
      </c>
      <c r="E31" s="3"/>
      <c r="F31" s="7">
        <f t="shared" si="0"/>
        <v>3.4149577189494904E-3</v>
      </c>
      <c r="G31" s="3"/>
      <c r="H31" s="8">
        <v>2606.96</v>
      </c>
      <c r="I31" s="3"/>
      <c r="J31" s="7">
        <f t="shared" si="1"/>
        <v>3.0799708325713035E-2</v>
      </c>
      <c r="K31" s="3"/>
      <c r="L31" s="8">
        <f t="shared" si="2"/>
        <v>-291.74000000000024</v>
      </c>
      <c r="M31" s="3"/>
      <c r="N31" s="7">
        <f t="shared" si="3"/>
        <v>-0.11190812287108365</v>
      </c>
      <c r="O31" s="12"/>
      <c r="P31" s="8">
        <v>22470.33</v>
      </c>
      <c r="Q31" s="3"/>
      <c r="R31" s="7">
        <f t="shared" si="4"/>
        <v>5.8372530721697551E-3</v>
      </c>
      <c r="S31" s="3"/>
      <c r="T31" s="8">
        <v>21246.86</v>
      </c>
      <c r="U31" s="3"/>
      <c r="V31" s="7">
        <f t="shared" si="5"/>
        <v>2.8877768436609944E-2</v>
      </c>
      <c r="W31" s="3"/>
      <c r="X31" s="8">
        <f t="shared" si="6"/>
        <v>1223.4700000000012</v>
      </c>
      <c r="Y31" s="3"/>
      <c r="Z31" s="7">
        <f t="shared" si="7"/>
        <v>5.7583567642465812E-2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1625.17</v>
      </c>
      <c r="E32" s="3"/>
      <c r="F32" s="7">
        <f t="shared" si="0"/>
        <v>2.3971315192962846E-3</v>
      </c>
      <c r="G32" s="3"/>
      <c r="H32" s="8">
        <v>1633.22</v>
      </c>
      <c r="I32" s="3"/>
      <c r="J32" s="7">
        <f t="shared" si="1"/>
        <v>1.9295539491101146E-2</v>
      </c>
      <c r="K32" s="3"/>
      <c r="L32" s="8">
        <f t="shared" si="2"/>
        <v>-8.0499999999999545</v>
      </c>
      <c r="M32" s="3"/>
      <c r="N32" s="7">
        <f t="shared" si="3"/>
        <v>-4.9289134348097343E-3</v>
      </c>
      <c r="O32" s="12"/>
      <c r="P32" s="8">
        <v>15457.42</v>
      </c>
      <c r="Q32" s="3"/>
      <c r="R32" s="7">
        <f t="shared" si="4"/>
        <v>4.0154671686093713E-3</v>
      </c>
      <c r="S32" s="3"/>
      <c r="T32" s="8">
        <v>13332.2</v>
      </c>
      <c r="U32" s="3"/>
      <c r="V32" s="7">
        <f t="shared" si="5"/>
        <v>1.812052154297487E-2</v>
      </c>
      <c r="W32" s="3"/>
      <c r="X32" s="8">
        <f t="shared" si="6"/>
        <v>2125.2199999999993</v>
      </c>
      <c r="Y32" s="3"/>
      <c r="Z32" s="7">
        <f t="shared" si="7"/>
        <v>0.15940504942920142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675.71</v>
      </c>
      <c r="E33" s="3"/>
      <c r="F33" s="7">
        <f t="shared" si="0"/>
        <v>9.9667464874671121E-4</v>
      </c>
      <c r="G33" s="3"/>
      <c r="H33" s="8">
        <v>950.4</v>
      </c>
      <c r="I33" s="3"/>
      <c r="J33" s="7">
        <f t="shared" si="1"/>
        <v>1.1228420379582989E-2</v>
      </c>
      <c r="K33" s="3"/>
      <c r="L33" s="8">
        <f t="shared" si="2"/>
        <v>-274.68999999999994</v>
      </c>
      <c r="M33" s="3"/>
      <c r="N33" s="7">
        <f t="shared" si="3"/>
        <v>-0.28902567340067337</v>
      </c>
      <c r="O33" s="12"/>
      <c r="P33" s="8">
        <v>7533.23</v>
      </c>
      <c r="Q33" s="3"/>
      <c r="R33" s="7">
        <f t="shared" si="4"/>
        <v>1.9569525663780353E-3</v>
      </c>
      <c r="S33" s="3"/>
      <c r="T33" s="8">
        <v>6514.85</v>
      </c>
      <c r="U33" s="3"/>
      <c r="V33" s="7">
        <f t="shared" si="5"/>
        <v>8.8546886316024243E-3</v>
      </c>
      <c r="W33" s="3"/>
      <c r="X33" s="8">
        <f t="shared" si="6"/>
        <v>1018.3799999999992</v>
      </c>
      <c r="Y33" s="3"/>
      <c r="Z33" s="7">
        <f t="shared" si="7"/>
        <v>0.15631672256460227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111991.66</v>
      </c>
      <c r="E34" s="2"/>
      <c r="F34" s="6">
        <f t="shared" si="0"/>
        <v>0.16518809606645024</v>
      </c>
      <c r="G34" s="2"/>
      <c r="H34" s="2">
        <f>SUM(OSRRefH22_1x_0)</f>
        <v>49455.91</v>
      </c>
      <c r="I34" s="2"/>
      <c r="J34" s="6">
        <f t="shared" si="1"/>
        <v>0.58429266386239709</v>
      </c>
      <c r="K34" s="2"/>
      <c r="L34" s="2">
        <f t="shared" si="2"/>
        <v>62535.75</v>
      </c>
      <c r="M34" s="2"/>
      <c r="N34" s="6">
        <f t="shared" si="3"/>
        <v>1.2644747614592471</v>
      </c>
      <c r="O34" s="14"/>
      <c r="P34" s="2">
        <f>SUM(OSRRefP22_1x_0)</f>
        <v>714701.93</v>
      </c>
      <c r="Q34" s="2"/>
      <c r="R34" s="6">
        <f t="shared" si="4"/>
        <v>0.18566242848138648</v>
      </c>
      <c r="S34" s="2"/>
      <c r="T34" s="2">
        <f>SUM(OSRRefT22_1x_0)</f>
        <v>429400.77999999997</v>
      </c>
      <c r="U34" s="2"/>
      <c r="V34" s="6">
        <f t="shared" si="5"/>
        <v>0.58362206421747442</v>
      </c>
      <c r="W34" s="2"/>
      <c r="X34" s="2">
        <f t="shared" si="6"/>
        <v>285301.15000000008</v>
      </c>
      <c r="Y34" s="2"/>
      <c r="Z34" s="6">
        <f t="shared" si="7"/>
        <v>0.66441693468745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11464.56</v>
      </c>
      <c r="E35" s="3"/>
      <c r="F35" s="7">
        <f t="shared" si="0"/>
        <v>1.6910266698784381E-2</v>
      </c>
      <c r="G35" s="3"/>
      <c r="H35" s="8">
        <v>15265.92</v>
      </c>
      <c r="I35" s="3"/>
      <c r="J35" s="7">
        <f t="shared" si="1"/>
        <v>0.18035792007689766</v>
      </c>
      <c r="K35" s="3"/>
      <c r="L35" s="8">
        <f t="shared" si="2"/>
        <v>-3801.3600000000006</v>
      </c>
      <c r="M35" s="3"/>
      <c r="N35" s="7">
        <f t="shared" si="3"/>
        <v>-0.24900955854609486</v>
      </c>
      <c r="O35" s="12"/>
      <c r="P35" s="8">
        <v>130069.02</v>
      </c>
      <c r="Q35" s="3"/>
      <c r="R35" s="7">
        <f t="shared" si="4"/>
        <v>3.3788813363627025E-2</v>
      </c>
      <c r="S35" s="3"/>
      <c r="T35" s="8">
        <v>122732.62</v>
      </c>
      <c r="U35" s="3"/>
      <c r="V35" s="7">
        <f t="shared" si="5"/>
        <v>0.16681261042706744</v>
      </c>
      <c r="W35" s="3"/>
      <c r="X35" s="8">
        <f t="shared" si="6"/>
        <v>7336.4000000000087</v>
      </c>
      <c r="Y35" s="3"/>
      <c r="Z35" s="7">
        <f t="shared" si="7"/>
        <v>5.9775469634723098E-2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34584.019999999997</v>
      </c>
      <c r="E36" s="3"/>
      <c r="F36" s="7">
        <f t="shared" si="0"/>
        <v>5.1011552272053437E-2</v>
      </c>
      <c r="G36" s="3"/>
      <c r="H36" s="8">
        <v>12619.44</v>
      </c>
      <c r="I36" s="3"/>
      <c r="J36" s="7">
        <f t="shared" si="1"/>
        <v>0.14909130605526594</v>
      </c>
      <c r="K36" s="3"/>
      <c r="L36" s="8">
        <f t="shared" si="2"/>
        <v>21964.579999999994</v>
      </c>
      <c r="M36" s="3"/>
      <c r="N36" s="7">
        <f t="shared" si="3"/>
        <v>1.7405352376967593</v>
      </c>
      <c r="O36" s="12"/>
      <c r="P36" s="8">
        <v>228563.7</v>
      </c>
      <c r="Q36" s="3"/>
      <c r="R36" s="7">
        <f t="shared" si="4"/>
        <v>5.9375370099659694E-2</v>
      </c>
      <c r="S36" s="3"/>
      <c r="T36" s="8">
        <v>122556.04</v>
      </c>
      <c r="U36" s="3"/>
      <c r="V36" s="7">
        <f t="shared" si="5"/>
        <v>0.16657261090005324</v>
      </c>
      <c r="W36" s="3"/>
      <c r="X36" s="8">
        <f t="shared" si="6"/>
        <v>106007.66000000002</v>
      </c>
      <c r="Y36" s="3"/>
      <c r="Z36" s="7">
        <f t="shared" si="7"/>
        <v>0.86497295441334454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22991.58</v>
      </c>
      <c r="E37" s="3"/>
      <c r="F37" s="7">
        <f t="shared" si="0"/>
        <v>3.3912662119299566E-2</v>
      </c>
      <c r="G37" s="3"/>
      <c r="H37" s="8">
        <v>9662.36</v>
      </c>
      <c r="I37" s="3"/>
      <c r="J37" s="7">
        <f t="shared" si="1"/>
        <v>0.11415513461581175</v>
      </c>
      <c r="K37" s="3"/>
      <c r="L37" s="8">
        <f t="shared" si="2"/>
        <v>13329.220000000001</v>
      </c>
      <c r="M37" s="3"/>
      <c r="N37" s="7">
        <f t="shared" si="3"/>
        <v>1.3794994183615596</v>
      </c>
      <c r="O37" s="12"/>
      <c r="P37" s="8">
        <v>137593.98000000001</v>
      </c>
      <c r="Q37" s="3"/>
      <c r="R37" s="7">
        <f t="shared" si="4"/>
        <v>3.5743617582254639E-2</v>
      </c>
      <c r="S37" s="3"/>
      <c r="T37" s="8">
        <v>80406.039999999994</v>
      </c>
      <c r="U37" s="3"/>
      <c r="V37" s="7">
        <f t="shared" si="5"/>
        <v>0.10928424266102361</v>
      </c>
      <c r="W37" s="3"/>
      <c r="X37" s="8">
        <f t="shared" si="6"/>
        <v>57187.940000000017</v>
      </c>
      <c r="Y37" s="3"/>
      <c r="Z37" s="7">
        <f t="shared" si="7"/>
        <v>0.71123935465544652</v>
      </c>
    </row>
    <row r="38" spans="1:26" s="69" customFormat="1" ht="15" hidden="1" customHeight="1" outlineLevel="2" x14ac:dyDescent="0.3">
      <c r="A38" s="26"/>
      <c r="B38" s="12" t="str">
        <f>CONCATENATE("          ","6006"," - ","TEMPORARY PART TIME")</f>
        <v xml:space="preserve">          6006 - TEMPORARY PART TIME</v>
      </c>
      <c r="C38" s="12"/>
      <c r="D38" s="8">
        <v>644.6</v>
      </c>
      <c r="E38" s="3"/>
      <c r="F38" s="7">
        <f t="shared" si="0"/>
        <v>9.5078728830730634E-4</v>
      </c>
      <c r="G38" s="3"/>
      <c r="H38" s="8">
        <v>609</v>
      </c>
      <c r="I38" s="3"/>
      <c r="J38" s="7">
        <f t="shared" si="1"/>
        <v>7.1949789679777356E-3</v>
      </c>
      <c r="K38" s="3"/>
      <c r="L38" s="8">
        <f t="shared" si="2"/>
        <v>35.600000000000023</v>
      </c>
      <c r="M38" s="3"/>
      <c r="N38" s="7">
        <f t="shared" si="3"/>
        <v>5.8456486042692976E-2</v>
      </c>
      <c r="O38" s="12"/>
      <c r="P38" s="8">
        <v>644.6</v>
      </c>
      <c r="Q38" s="3"/>
      <c r="R38" s="7">
        <f t="shared" si="4"/>
        <v>1.6745162756045967E-4</v>
      </c>
      <c r="S38" s="3"/>
      <c r="T38" s="8">
        <v>609</v>
      </c>
      <c r="U38" s="3"/>
      <c r="V38" s="7">
        <f t="shared" si="5"/>
        <v>8.2772517811551709E-4</v>
      </c>
      <c r="W38" s="3"/>
      <c r="X38" s="8">
        <f t="shared" si="6"/>
        <v>35.600000000000023</v>
      </c>
      <c r="Y38" s="3"/>
      <c r="Z38" s="7">
        <f t="shared" si="7"/>
        <v>5.8456486042692976E-2</v>
      </c>
    </row>
    <row r="39" spans="1:26" s="69" customFormat="1" ht="15" hidden="1" customHeight="1" outlineLevel="2" x14ac:dyDescent="0.3">
      <c r="A39" s="26"/>
      <c r="B39" s="12" t="str">
        <f>CONCATENATE("          ","6007"," - ","STUDENT HOURLY")</f>
        <v xml:space="preserve">          6007 - STUDENT HOURLY</v>
      </c>
      <c r="C39" s="12"/>
      <c r="D39" s="8">
        <v>20308.3</v>
      </c>
      <c r="E39" s="3"/>
      <c r="F39" s="7">
        <f t="shared" si="0"/>
        <v>2.9954814593750028E-2</v>
      </c>
      <c r="G39" s="3"/>
      <c r="H39" s="8">
        <v>11299.19</v>
      </c>
      <c r="I39" s="3"/>
      <c r="J39" s="7">
        <f t="shared" si="1"/>
        <v>0.13349332414644394</v>
      </c>
      <c r="K39" s="3"/>
      <c r="L39" s="8">
        <f t="shared" si="2"/>
        <v>9009.1099999999988</v>
      </c>
      <c r="M39" s="3"/>
      <c r="N39" s="7">
        <f t="shared" si="3"/>
        <v>0.79732352496063863</v>
      </c>
      <c r="O39" s="12"/>
      <c r="P39" s="8">
        <v>154762.07999999999</v>
      </c>
      <c r="Q39" s="3"/>
      <c r="R39" s="7">
        <f t="shared" si="4"/>
        <v>4.0203478406208595E-2</v>
      </c>
      <c r="S39" s="3"/>
      <c r="T39" s="8">
        <v>92466.2</v>
      </c>
      <c r="U39" s="3"/>
      <c r="V39" s="7">
        <f t="shared" si="5"/>
        <v>0.12567586513081283</v>
      </c>
      <c r="W39" s="3"/>
      <c r="X39" s="8">
        <f t="shared" si="6"/>
        <v>62295.87999999999</v>
      </c>
      <c r="Y39" s="3"/>
      <c r="Z39" s="7">
        <f t="shared" si="7"/>
        <v>0.6737151521312652</v>
      </c>
    </row>
    <row r="40" spans="1:26" s="69" customFormat="1" ht="15" hidden="1" customHeight="1" outlineLevel="2" x14ac:dyDescent="0.3">
      <c r="A40" s="26"/>
      <c r="B40" s="12" t="str">
        <f>CONCATENATE("          ","6008"," - ","STUDENT HOURLY-FICA EXEMPT")</f>
        <v xml:space="preserve">          6008 - STUDENT HOURLY-FICA EXEMPT</v>
      </c>
      <c r="C40" s="12"/>
      <c r="D40" s="8">
        <v>21998.6</v>
      </c>
      <c r="E40" s="3"/>
      <c r="F40" s="7">
        <f t="shared" si="0"/>
        <v>3.2448013094255518E-2</v>
      </c>
      <c r="G40" s="3"/>
      <c r="H40" s="8"/>
      <c r="I40" s="3"/>
      <c r="J40" s="7">
        <f t="shared" si="1"/>
        <v>0</v>
      </c>
      <c r="K40" s="3"/>
      <c r="L40" s="8">
        <f t="shared" si="2"/>
        <v>21998.6</v>
      </c>
      <c r="M40" s="3"/>
      <c r="N40" s="7">
        <f t="shared" si="3"/>
        <v>0</v>
      </c>
      <c r="O40" s="12"/>
      <c r="P40" s="8">
        <v>63068.55</v>
      </c>
      <c r="Q40" s="3"/>
      <c r="R40" s="7">
        <f t="shared" si="4"/>
        <v>1.6383697402076063E-2</v>
      </c>
      <c r="S40" s="3"/>
      <c r="T40" s="8">
        <v>10630.88</v>
      </c>
      <c r="U40" s="3"/>
      <c r="V40" s="7">
        <f t="shared" si="5"/>
        <v>1.4449009920401785E-2</v>
      </c>
      <c r="W40" s="3"/>
      <c r="X40" s="8">
        <f t="shared" si="6"/>
        <v>52437.670000000006</v>
      </c>
      <c r="Y40" s="3"/>
      <c r="Z40" s="7">
        <f t="shared" si="7"/>
        <v>4.932580369640144</v>
      </c>
    </row>
    <row r="41" spans="1:26" s="68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0</v>
      </c>
      <c r="E41" s="2"/>
      <c r="F41" s="6">
        <f t="shared" si="0"/>
        <v>0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SUM(OSRRefP22_2x_0)</f>
        <v>1037.69</v>
      </c>
      <c r="Q41" s="2"/>
      <c r="R41" s="6">
        <f t="shared" si="4"/>
        <v>2.6956698635310797E-4</v>
      </c>
      <c r="S41" s="2"/>
      <c r="T41" s="2">
        <f>SUM(OSRRefT22_2x_0)</f>
        <v>1240.42</v>
      </c>
      <c r="U41" s="2"/>
      <c r="V41" s="6">
        <f t="shared" si="5"/>
        <v>1.6859226033465512E-3</v>
      </c>
      <c r="W41" s="2"/>
      <c r="X41" s="2">
        <f t="shared" si="6"/>
        <v>-202.73000000000002</v>
      </c>
      <c r="Y41" s="2"/>
      <c r="Z41" s="6">
        <f t="shared" si="7"/>
        <v>-0.16343657793328067</v>
      </c>
    </row>
    <row r="42" spans="1:26" s="69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1037.69</v>
      </c>
      <c r="Q42" s="3"/>
      <c r="R42" s="7">
        <f t="shared" si="4"/>
        <v>2.6956698635310797E-4</v>
      </c>
      <c r="S42" s="3"/>
      <c r="T42" s="8">
        <v>1240.42</v>
      </c>
      <c r="U42" s="3"/>
      <c r="V42" s="7">
        <f t="shared" si="5"/>
        <v>1.6859226033465512E-3</v>
      </c>
      <c r="W42" s="3"/>
      <c r="X42" s="8">
        <f t="shared" si="6"/>
        <v>-202.73000000000002</v>
      </c>
      <c r="Y42" s="3"/>
      <c r="Z42" s="7">
        <f t="shared" si="7"/>
        <v>-0.16343657793328067</v>
      </c>
    </row>
    <row r="43" spans="1:26" s="68" customFormat="1" ht="15" customHeight="1" outlineLevel="1" collapsed="1" x14ac:dyDescent="0.3">
      <c r="A43" s="25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-9.1</v>
      </c>
      <c r="E43" s="2"/>
      <c r="F43" s="6">
        <f t="shared" si="0"/>
        <v>-1.3422532304679626E-5</v>
      </c>
      <c r="G43" s="2"/>
      <c r="H43" s="2">
        <f>SUM(OSRRefH22_3x_0)</f>
        <v>-16.2</v>
      </c>
      <c r="I43" s="2"/>
      <c r="J43" s="6">
        <f t="shared" si="1"/>
        <v>-1.913935291974373E-4</v>
      </c>
      <c r="K43" s="2"/>
      <c r="L43" s="2">
        <f t="shared" si="2"/>
        <v>7.1</v>
      </c>
      <c r="M43" s="2"/>
      <c r="N43" s="6">
        <f t="shared" si="3"/>
        <v>-0.43827160493827161</v>
      </c>
      <c r="O43" s="14"/>
      <c r="P43" s="2">
        <f>SUM(OSRRefP22_3x_0)</f>
        <v>0</v>
      </c>
      <c r="Q43" s="2"/>
      <c r="R43" s="6">
        <f t="shared" si="4"/>
        <v>0</v>
      </c>
      <c r="S43" s="2"/>
      <c r="T43" s="2">
        <f>SUM(OSRRefT22_3x_0)</f>
        <v>23.8</v>
      </c>
      <c r="U43" s="2"/>
      <c r="V43" s="6">
        <f t="shared" si="5"/>
        <v>3.2347880524054691E-5</v>
      </c>
      <c r="W43" s="2"/>
      <c r="X43" s="2">
        <f t="shared" si="6"/>
        <v>-23.8</v>
      </c>
      <c r="Y43" s="2"/>
      <c r="Z43" s="6">
        <f t="shared" si="7"/>
        <v>-1</v>
      </c>
    </row>
    <row r="44" spans="1:26" s="69" customFormat="1" ht="15" hidden="1" customHeight="1" outlineLevel="2" x14ac:dyDescent="0.3">
      <c r="A44" s="26"/>
      <c r="B44" s="12" t="str">
        <f>CONCATENATE("          ","6272"," - ","CASH (OVER/SHORT)")</f>
        <v xml:space="preserve">          6272 - CASH (OVER/SHORT)</v>
      </c>
      <c r="C44" s="12"/>
      <c r="D44" s="8">
        <v>-9.1</v>
      </c>
      <c r="E44" s="3"/>
      <c r="F44" s="7">
        <f t="shared" si="0"/>
        <v>-1.3422532304679626E-5</v>
      </c>
      <c r="G44" s="3"/>
      <c r="H44" s="8">
        <v>-16.2</v>
      </c>
      <c r="I44" s="3"/>
      <c r="J44" s="7">
        <f t="shared" si="1"/>
        <v>-1.913935291974373E-4</v>
      </c>
      <c r="K44" s="3"/>
      <c r="L44" s="8">
        <f t="shared" si="2"/>
        <v>7.1</v>
      </c>
      <c r="M44" s="3"/>
      <c r="N44" s="7">
        <f t="shared" si="3"/>
        <v>-0.43827160493827161</v>
      </c>
      <c r="O44" s="12"/>
      <c r="P44" s="8">
        <v>0</v>
      </c>
      <c r="Q44" s="3"/>
      <c r="R44" s="7">
        <f t="shared" si="4"/>
        <v>0</v>
      </c>
      <c r="S44" s="3"/>
      <c r="T44" s="8">
        <v>23.8</v>
      </c>
      <c r="U44" s="3"/>
      <c r="V44" s="7">
        <f t="shared" si="5"/>
        <v>3.2347880524054691E-5</v>
      </c>
      <c r="W44" s="3"/>
      <c r="X44" s="8">
        <f t="shared" si="6"/>
        <v>-23.8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5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72.959999999999994</v>
      </c>
      <c r="E45" s="2"/>
      <c r="F45" s="6">
        <f t="shared" si="0"/>
        <v>1.0761625900543138E-4</v>
      </c>
      <c r="G45" s="2"/>
      <c r="H45" s="2">
        <f>SUM(OSRRefH22_4x_0)</f>
        <v>77.599999999999994</v>
      </c>
      <c r="I45" s="2"/>
      <c r="J45" s="6">
        <f t="shared" si="1"/>
        <v>9.1679863368648981E-4</v>
      </c>
      <c r="K45" s="2"/>
      <c r="L45" s="2">
        <f t="shared" si="2"/>
        <v>-4.6400000000000006</v>
      </c>
      <c r="M45" s="2"/>
      <c r="N45" s="6">
        <f t="shared" si="3"/>
        <v>-5.97938144329897E-2</v>
      </c>
      <c r="O45" s="14"/>
      <c r="P45" s="2">
        <f>SUM(OSRRefP22_4x_0)</f>
        <v>424.99</v>
      </c>
      <c r="Q45" s="2"/>
      <c r="R45" s="6">
        <f t="shared" si="4"/>
        <v>1.1040221408147651E-4</v>
      </c>
      <c r="S45" s="2"/>
      <c r="T45" s="2">
        <f>SUM(OSRRefT22_4x_0)</f>
        <v>188.92</v>
      </c>
      <c r="U45" s="2"/>
      <c r="V45" s="6">
        <f t="shared" si="5"/>
        <v>2.5677149531951309E-4</v>
      </c>
      <c r="W45" s="2"/>
      <c r="X45" s="2">
        <f t="shared" si="6"/>
        <v>236.07000000000002</v>
      </c>
      <c r="Y45" s="2"/>
      <c r="Z45" s="6">
        <f t="shared" si="7"/>
        <v>1.2495765403345334</v>
      </c>
    </row>
    <row r="46" spans="1:26" s="69" customFormat="1" ht="15" hidden="1" customHeight="1" outlineLevel="2" x14ac:dyDescent="0.3">
      <c r="A46" s="26"/>
      <c r="B46" s="12" t="str">
        <f>CONCATENATE("          ","6381"," - ","BANK/CREDIT CARD FEES")</f>
        <v xml:space="preserve">          6381 - BANK/CREDIT CARD FEES</v>
      </c>
      <c r="C46" s="12"/>
      <c r="D46" s="8">
        <v>72.959999999999994</v>
      </c>
      <c r="E46" s="3"/>
      <c r="F46" s="7">
        <f t="shared" si="0"/>
        <v>1.0761625900543138E-4</v>
      </c>
      <c r="G46" s="3"/>
      <c r="H46" s="8">
        <v>77.599999999999994</v>
      </c>
      <c r="I46" s="3"/>
      <c r="J46" s="7">
        <f t="shared" si="1"/>
        <v>9.1679863368648981E-4</v>
      </c>
      <c r="K46" s="3"/>
      <c r="L46" s="8">
        <f t="shared" si="2"/>
        <v>-4.6400000000000006</v>
      </c>
      <c r="M46" s="3"/>
      <c r="N46" s="7">
        <f t="shared" si="3"/>
        <v>-5.97938144329897E-2</v>
      </c>
      <c r="O46" s="12"/>
      <c r="P46" s="8">
        <v>424.99</v>
      </c>
      <c r="Q46" s="3"/>
      <c r="R46" s="7">
        <f t="shared" si="4"/>
        <v>1.1040221408147651E-4</v>
      </c>
      <c r="S46" s="3"/>
      <c r="T46" s="8">
        <v>188.92</v>
      </c>
      <c r="U46" s="3"/>
      <c r="V46" s="7">
        <f t="shared" si="5"/>
        <v>2.5677149531951309E-4</v>
      </c>
      <c r="W46" s="3"/>
      <c r="X46" s="8">
        <f t="shared" si="6"/>
        <v>236.07000000000002</v>
      </c>
      <c r="Y46" s="3"/>
      <c r="Z46" s="7">
        <f t="shared" si="7"/>
        <v>1.2495765403345334</v>
      </c>
    </row>
    <row r="47" spans="1:26" s="68" customFormat="1" ht="15" customHeight="1" outlineLevel="1" collapsed="1" x14ac:dyDescent="0.3">
      <c r="A47" s="25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4.0342822095087083E-4</v>
      </c>
      <c r="G47" s="2"/>
      <c r="H47" s="2">
        <f>SUM(OSRRefH22_5x_0)</f>
        <v>272.74</v>
      </c>
      <c r="I47" s="2"/>
      <c r="J47" s="6">
        <f t="shared" si="1"/>
        <v>3.2222636514388303E-3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2188.08</v>
      </c>
      <c r="Q47" s="2"/>
      <c r="R47" s="6">
        <f t="shared" si="4"/>
        <v>5.6841073104637078E-4</v>
      </c>
      <c r="S47" s="2"/>
      <c r="T47" s="2">
        <f>SUM(OSRRefT22_5x_0)</f>
        <v>1917.7</v>
      </c>
      <c r="U47" s="2"/>
      <c r="V47" s="6">
        <f t="shared" si="5"/>
        <v>2.6064508605453647E-3</v>
      </c>
      <c r="W47" s="2"/>
      <c r="X47" s="2">
        <f t="shared" si="6"/>
        <v>270.37999999999988</v>
      </c>
      <c r="Y47" s="2"/>
      <c r="Z47" s="6">
        <f t="shared" si="7"/>
        <v>0.14099181310945397</v>
      </c>
    </row>
    <row r="48" spans="1:26" s="69" customFormat="1" ht="15" hidden="1" customHeight="1" outlineLevel="2" x14ac:dyDescent="0.3">
      <c r="A48" s="26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273.51</v>
      </c>
      <c r="E48" s="3"/>
      <c r="F48" s="7">
        <f t="shared" si="0"/>
        <v>4.0342822095087083E-4</v>
      </c>
      <c r="G48" s="3"/>
      <c r="H48" s="8">
        <v>272.74</v>
      </c>
      <c r="I48" s="3"/>
      <c r="J48" s="7">
        <f t="shared" si="1"/>
        <v>3.2222636514388303E-3</v>
      </c>
      <c r="K48" s="3"/>
      <c r="L48" s="8">
        <f t="shared" si="2"/>
        <v>0.76999999999998181</v>
      </c>
      <c r="M48" s="3"/>
      <c r="N48" s="7">
        <f t="shared" si="3"/>
        <v>2.8232015839260165E-3</v>
      </c>
      <c r="O48" s="12"/>
      <c r="P48" s="8">
        <v>2188.08</v>
      </c>
      <c r="Q48" s="3"/>
      <c r="R48" s="7">
        <f t="shared" si="4"/>
        <v>5.6841073104637078E-4</v>
      </c>
      <c r="S48" s="3"/>
      <c r="T48" s="8">
        <v>1917.7</v>
      </c>
      <c r="U48" s="3"/>
      <c r="V48" s="7">
        <f t="shared" si="5"/>
        <v>2.6064508605453647E-3</v>
      </c>
      <c r="W48" s="3"/>
      <c r="X48" s="8">
        <f t="shared" si="6"/>
        <v>270.37999999999988</v>
      </c>
      <c r="Y48" s="3"/>
      <c r="Z48" s="7">
        <f t="shared" si="7"/>
        <v>0.14099181310945397</v>
      </c>
    </row>
    <row r="49" spans="1:26" s="68" customFormat="1" ht="15" customHeight="1" outlineLevel="1" collapsed="1" x14ac:dyDescent="0.3">
      <c r="A49" s="25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2875.93</v>
      </c>
      <c r="E49" s="2"/>
      <c r="F49" s="6">
        <f t="shared" si="0"/>
        <v>4.2420069594502506E-3</v>
      </c>
      <c r="G49" s="2"/>
      <c r="H49" s="2">
        <f>SUM(OSRRefH22_6x_0)</f>
        <v>5361.28</v>
      </c>
      <c r="I49" s="2"/>
      <c r="J49" s="6">
        <f t="shared" si="1"/>
        <v>6.3340388902199798E-2</v>
      </c>
      <c r="K49" s="2"/>
      <c r="L49" s="2">
        <f t="shared" si="2"/>
        <v>-2485.35</v>
      </c>
      <c r="M49" s="2"/>
      <c r="N49" s="6">
        <f t="shared" si="3"/>
        <v>-0.46357399725438703</v>
      </c>
      <c r="O49" s="14"/>
      <c r="P49" s="2">
        <f>SUM(OSRRefP22_6x_0)</f>
        <v>16331.18</v>
      </c>
      <c r="Q49" s="2"/>
      <c r="R49" s="6">
        <f t="shared" si="4"/>
        <v>4.242449070714905E-3</v>
      </c>
      <c r="S49" s="2"/>
      <c r="T49" s="2">
        <f>SUM(OSRRefT22_6x_0)</f>
        <v>43642.43</v>
      </c>
      <c r="U49" s="2"/>
      <c r="V49" s="6">
        <f t="shared" si="5"/>
        <v>5.9316811404177314E-2</v>
      </c>
      <c r="W49" s="2"/>
      <c r="X49" s="2">
        <f t="shared" si="6"/>
        <v>-27311.25</v>
      </c>
      <c r="Y49" s="2"/>
      <c r="Z49" s="6">
        <f t="shared" si="7"/>
        <v>-0.62579581384446281</v>
      </c>
    </row>
    <row r="50" spans="1:26" s="69" customFormat="1" ht="15" hidden="1" customHeight="1" outlineLevel="2" x14ac:dyDescent="0.3">
      <c r="A50" s="26"/>
      <c r="B50" s="12" t="str">
        <f>CONCATENATE("          ","6399"," - ","DONATION-ON CAMPUS")</f>
        <v xml:space="preserve">          6399 - DONATION-ON CAMPUS</v>
      </c>
      <c r="C50" s="12"/>
      <c r="D50" s="8">
        <v>2875.93</v>
      </c>
      <c r="E50" s="3"/>
      <c r="F50" s="7">
        <f t="shared" si="0"/>
        <v>4.2420069594502506E-3</v>
      </c>
      <c r="G50" s="3"/>
      <c r="H50" s="8">
        <v>5361.28</v>
      </c>
      <c r="I50" s="3"/>
      <c r="J50" s="7">
        <f t="shared" si="1"/>
        <v>6.3340388902199798E-2</v>
      </c>
      <c r="K50" s="3"/>
      <c r="L50" s="8">
        <f t="shared" si="2"/>
        <v>-2485.35</v>
      </c>
      <c r="M50" s="3"/>
      <c r="N50" s="7">
        <f t="shared" si="3"/>
        <v>-0.46357399725438703</v>
      </c>
      <c r="O50" s="12"/>
      <c r="P50" s="8">
        <v>16331.18</v>
      </c>
      <c r="Q50" s="3"/>
      <c r="R50" s="7">
        <f t="shared" si="4"/>
        <v>4.242449070714905E-3</v>
      </c>
      <c r="S50" s="3"/>
      <c r="T50" s="8">
        <v>43642.43</v>
      </c>
      <c r="U50" s="3"/>
      <c r="V50" s="7">
        <f t="shared" si="5"/>
        <v>5.9316811404177314E-2</v>
      </c>
      <c r="W50" s="3"/>
      <c r="X50" s="8">
        <f t="shared" si="6"/>
        <v>-27311.25</v>
      </c>
      <c r="Y50" s="3"/>
      <c r="Z50" s="7">
        <f t="shared" si="7"/>
        <v>-0.62579581384446281</v>
      </c>
    </row>
    <row r="51" spans="1:26" s="68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87.37</v>
      </c>
      <c r="E51" s="2"/>
      <c r="F51" s="6">
        <f t="shared" si="0"/>
        <v>1.2887106016042408E-4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87.37</v>
      </c>
      <c r="M51" s="2"/>
      <c r="N51" s="6">
        <f t="shared" si="3"/>
        <v>0</v>
      </c>
      <c r="O51" s="14"/>
      <c r="P51" s="2">
        <f>SUM(OSRRefP22_7x_0)</f>
        <v>200.77</v>
      </c>
      <c r="Q51" s="2"/>
      <c r="R51" s="6">
        <f t="shared" si="4"/>
        <v>5.2155233114045128E-5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200.77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8">
        <v>87.37</v>
      </c>
      <c r="E52" s="3"/>
      <c r="F52" s="7">
        <f t="shared" si="0"/>
        <v>1.2887106016042408E-4</v>
      </c>
      <c r="G52" s="3"/>
      <c r="H52" s="8"/>
      <c r="I52" s="3"/>
      <c r="J52" s="7">
        <f t="shared" si="1"/>
        <v>0</v>
      </c>
      <c r="K52" s="3"/>
      <c r="L52" s="8">
        <f t="shared" si="2"/>
        <v>87.37</v>
      </c>
      <c r="M52" s="3"/>
      <c r="N52" s="7">
        <f t="shared" si="3"/>
        <v>0</v>
      </c>
      <c r="O52" s="12"/>
      <c r="P52" s="8">
        <v>200.77</v>
      </c>
      <c r="Q52" s="3"/>
      <c r="R52" s="7">
        <f t="shared" si="4"/>
        <v>5.2155233114045128E-5</v>
      </c>
      <c r="S52" s="3"/>
      <c r="T52" s="8"/>
      <c r="U52" s="3"/>
      <c r="V52" s="7">
        <f t="shared" si="5"/>
        <v>0</v>
      </c>
      <c r="W52" s="3"/>
      <c r="X52" s="8">
        <f t="shared" si="6"/>
        <v>200.77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378.12</v>
      </c>
      <c r="E53" s="2"/>
      <c r="F53" s="6">
        <f t="shared" si="0"/>
        <v>5.5772834231268803E-4</v>
      </c>
      <c r="G53" s="2"/>
      <c r="H53" s="2">
        <f>SUM(OSRRefH22_8x_0)</f>
        <v>336.86</v>
      </c>
      <c r="I53" s="2"/>
      <c r="J53" s="6">
        <f t="shared" si="1"/>
        <v>3.9798039657684406E-3</v>
      </c>
      <c r="K53" s="2"/>
      <c r="L53" s="2">
        <f t="shared" si="2"/>
        <v>41.259999999999991</v>
      </c>
      <c r="M53" s="2"/>
      <c r="N53" s="6">
        <f t="shared" si="3"/>
        <v>0.12248411803122956</v>
      </c>
      <c r="O53" s="14"/>
      <c r="P53" s="2">
        <f>SUM(OSRRefP22_8x_0)</f>
        <v>2596.5100000000002</v>
      </c>
      <c r="Q53" s="2"/>
      <c r="R53" s="6">
        <f t="shared" si="4"/>
        <v>6.7451105410643681E-4</v>
      </c>
      <c r="S53" s="2"/>
      <c r="T53" s="2">
        <f>SUM(OSRRefT22_8x_0)</f>
        <v>2103.3200000000002</v>
      </c>
      <c r="U53" s="2"/>
      <c r="V53" s="6">
        <f t="shared" si="5"/>
        <v>2.8587371455401139E-3</v>
      </c>
      <c r="W53" s="2"/>
      <c r="X53" s="2">
        <f t="shared" si="6"/>
        <v>493.19000000000005</v>
      </c>
      <c r="Y53" s="2"/>
      <c r="Z53" s="6">
        <f t="shared" si="7"/>
        <v>0.23448167658749025</v>
      </c>
    </row>
    <row r="54" spans="1:26" s="69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378.12</v>
      </c>
      <c r="E54" s="3"/>
      <c r="F54" s="7">
        <f t="shared" si="0"/>
        <v>5.5772834231268803E-4</v>
      </c>
      <c r="G54" s="3"/>
      <c r="H54" s="8">
        <v>336.86</v>
      </c>
      <c r="I54" s="3"/>
      <c r="J54" s="7">
        <f t="shared" si="1"/>
        <v>3.9798039657684406E-3</v>
      </c>
      <c r="K54" s="3"/>
      <c r="L54" s="8">
        <f t="shared" si="2"/>
        <v>41.259999999999991</v>
      </c>
      <c r="M54" s="3"/>
      <c r="N54" s="7">
        <f t="shared" si="3"/>
        <v>0.12248411803122956</v>
      </c>
      <c r="O54" s="12"/>
      <c r="P54" s="8">
        <v>2596.5100000000002</v>
      </c>
      <c r="Q54" s="3"/>
      <c r="R54" s="7">
        <f t="shared" si="4"/>
        <v>6.7451105410643681E-4</v>
      </c>
      <c r="S54" s="3"/>
      <c r="T54" s="8">
        <v>2103.3200000000002</v>
      </c>
      <c r="U54" s="3"/>
      <c r="V54" s="7">
        <f t="shared" si="5"/>
        <v>2.8587371455401139E-3</v>
      </c>
      <c r="W54" s="3"/>
      <c r="X54" s="8">
        <f t="shared" si="6"/>
        <v>493.19000000000005</v>
      </c>
      <c r="Y54" s="3"/>
      <c r="Z54" s="7">
        <f t="shared" si="7"/>
        <v>0.23448167658749025</v>
      </c>
    </row>
    <row r="55" spans="1:26" s="68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0</v>
      </c>
      <c r="E55" s="2"/>
      <c r="F55" s="6">
        <f t="shared" ref="F55:F81" si="8">IF(D$12=0,0,D55/D$12)</f>
        <v>0</v>
      </c>
      <c r="G55" s="2"/>
      <c r="H55" s="2">
        <f>SUM(OSRRefH22_9x_0)</f>
        <v>0</v>
      </c>
      <c r="I55" s="2"/>
      <c r="J55" s="6">
        <f t="shared" ref="J55:J81" si="9">IF(H$12=0,0,H55/H$12)</f>
        <v>0</v>
      </c>
      <c r="K55" s="2"/>
      <c r="L55" s="2">
        <f t="shared" ref="L55:L81" si="10">+D55-H55</f>
        <v>0</v>
      </c>
      <c r="M55" s="2"/>
      <c r="N55" s="6">
        <f t="shared" ref="N55:N81" si="11">IF(H55=0,0,L55/H55)</f>
        <v>0</v>
      </c>
      <c r="O55" s="14"/>
      <c r="P55" s="2">
        <f>SUM(OSRRefP22_9x_0)</f>
        <v>1926.18</v>
      </c>
      <c r="Q55" s="2"/>
      <c r="R55" s="6">
        <f t="shared" ref="R55:R81" si="12">IF(P$12=0,0,P55/P$12)</f>
        <v>5.0037538934906336E-4</v>
      </c>
      <c r="S55" s="2"/>
      <c r="T55" s="2">
        <f>SUM(OSRRefT22_9x_0)</f>
        <v>1888.78</v>
      </c>
      <c r="U55" s="2"/>
      <c r="V55" s="6">
        <f t="shared" ref="V55:V81" si="13">IF(T$12=0,0,T55/T$12)</f>
        <v>2.5671441082447065E-3</v>
      </c>
      <c r="W55" s="2"/>
      <c r="X55" s="2">
        <f t="shared" ref="X55:X81" si="14">+P55-T55</f>
        <v>37.400000000000091</v>
      </c>
      <c r="Y55" s="2"/>
      <c r="Z55" s="6">
        <f t="shared" ref="Z55:Z81" si="15">IF(T55=0,0,X55/T55)</f>
        <v>1.9801141477567581E-2</v>
      </c>
    </row>
    <row r="56" spans="1:26" s="69" customFormat="1" ht="15" hidden="1" customHeight="1" outlineLevel="2" x14ac:dyDescent="0.3">
      <c r="A56" s="26"/>
      <c r="B56" s="12" t="str">
        <f>CONCATENATE("          ","6279"," - ","GENERAL EXPENSE")</f>
        <v xml:space="preserve">          6279 - GENERAL EXPENSE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1926.18</v>
      </c>
      <c r="Q56" s="3"/>
      <c r="R56" s="7">
        <f t="shared" si="12"/>
        <v>5.0037538934906336E-4</v>
      </c>
      <c r="S56" s="3"/>
      <c r="T56" s="8">
        <v>1888.78</v>
      </c>
      <c r="U56" s="3"/>
      <c r="V56" s="7">
        <f t="shared" si="13"/>
        <v>2.5671441082447065E-3</v>
      </c>
      <c r="W56" s="3"/>
      <c r="X56" s="8">
        <f t="shared" si="14"/>
        <v>37.400000000000091</v>
      </c>
      <c r="Y56" s="3"/>
      <c r="Z56" s="7">
        <f t="shared" si="15"/>
        <v>1.9801141477567581E-2</v>
      </c>
    </row>
    <row r="57" spans="1:26" s="68" customFormat="1" ht="15" customHeight="1" outlineLevel="1" collapsed="1" x14ac:dyDescent="0.3">
      <c r="A57" s="25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53856.19</v>
      </c>
      <c r="E57" s="2"/>
      <c r="F57" s="6">
        <f t="shared" si="8"/>
        <v>7.9438071437578459E-2</v>
      </c>
      <c r="G57" s="2"/>
      <c r="H57" s="2">
        <f>SUM(OSRRefH22_10x_0)</f>
        <v>6342.49</v>
      </c>
      <c r="I57" s="2"/>
      <c r="J57" s="6">
        <f t="shared" si="9"/>
        <v>7.4932811419719386E-2</v>
      </c>
      <c r="K57" s="2"/>
      <c r="L57" s="2">
        <f t="shared" si="10"/>
        <v>47513.700000000004</v>
      </c>
      <c r="M57" s="2"/>
      <c r="N57" s="6">
        <f t="shared" si="11"/>
        <v>7.4913322685569872</v>
      </c>
      <c r="O57" s="14"/>
      <c r="P57" s="2">
        <f>SUM(OSRRefP22_10x_0)</f>
        <v>302787.19</v>
      </c>
      <c r="Q57" s="2"/>
      <c r="R57" s="6">
        <f t="shared" si="12"/>
        <v>7.8656853505985322E-2</v>
      </c>
      <c r="S57" s="2"/>
      <c r="T57" s="2">
        <f>SUM(OSRRefT22_10x_0)</f>
        <v>50356.5</v>
      </c>
      <c r="U57" s="2"/>
      <c r="V57" s="6">
        <f t="shared" si="13"/>
        <v>6.844227082393109E-2</v>
      </c>
      <c r="W57" s="2"/>
      <c r="X57" s="2">
        <f t="shared" si="14"/>
        <v>252430.69</v>
      </c>
      <c r="Y57" s="2"/>
      <c r="Z57" s="6">
        <f t="shared" si="15"/>
        <v>5.0128720224797201</v>
      </c>
    </row>
    <row r="58" spans="1:26" s="69" customFormat="1" ht="15" hidden="1" customHeight="1" outlineLevel="2" x14ac:dyDescent="0.3">
      <c r="A58" s="26"/>
      <c r="B58" s="12" t="str">
        <f>CONCATENATE("          ","6387"," - ","COMMISSION DUE HOUSING")</f>
        <v xml:space="preserve">          6387 - COMMISSION DUE HOUSING</v>
      </c>
      <c r="C58" s="12"/>
      <c r="D58" s="8">
        <v>53856.19</v>
      </c>
      <c r="E58" s="3"/>
      <c r="F58" s="7">
        <f t="shared" si="8"/>
        <v>7.9438071437578459E-2</v>
      </c>
      <c r="G58" s="3"/>
      <c r="H58" s="8">
        <v>6342.49</v>
      </c>
      <c r="I58" s="3"/>
      <c r="J58" s="7">
        <f t="shared" si="9"/>
        <v>7.4932811419719386E-2</v>
      </c>
      <c r="K58" s="3"/>
      <c r="L58" s="8">
        <f t="shared" si="10"/>
        <v>47513.700000000004</v>
      </c>
      <c r="M58" s="3"/>
      <c r="N58" s="7">
        <f t="shared" si="11"/>
        <v>7.4913322685569872</v>
      </c>
      <c r="O58" s="12"/>
      <c r="P58" s="8">
        <v>302787.19</v>
      </c>
      <c r="Q58" s="3"/>
      <c r="R58" s="7">
        <f t="shared" si="12"/>
        <v>7.8656853505985322E-2</v>
      </c>
      <c r="S58" s="3"/>
      <c r="T58" s="8">
        <v>50356.5</v>
      </c>
      <c r="U58" s="3"/>
      <c r="V58" s="7">
        <f t="shared" si="13"/>
        <v>6.844227082393109E-2</v>
      </c>
      <c r="W58" s="3"/>
      <c r="X58" s="8">
        <f t="shared" si="14"/>
        <v>252430.69</v>
      </c>
      <c r="Y58" s="3"/>
      <c r="Z58" s="7">
        <f t="shared" si="15"/>
        <v>5.0128720224797201</v>
      </c>
    </row>
    <row r="59" spans="1:26" s="68" customFormat="1" ht="15" customHeight="1" outlineLevel="1" collapsed="1" x14ac:dyDescent="0.3">
      <c r="A59" s="25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10.93</v>
      </c>
      <c r="E59" s="2"/>
      <c r="F59" s="6">
        <f t="shared" si="8"/>
        <v>1.6121788801115199E-5</v>
      </c>
      <c r="G59" s="2"/>
      <c r="H59" s="2">
        <f>SUM(OSRRefH22_11x_0)</f>
        <v>87.740000000000009</v>
      </c>
      <c r="I59" s="2"/>
      <c r="J59" s="6">
        <f t="shared" si="9"/>
        <v>1.0365968056656265E-3</v>
      </c>
      <c r="K59" s="2"/>
      <c r="L59" s="2">
        <f t="shared" si="10"/>
        <v>-76.81</v>
      </c>
      <c r="M59" s="2"/>
      <c r="N59" s="6">
        <f t="shared" si="11"/>
        <v>-0.87542739913380441</v>
      </c>
      <c r="O59" s="14"/>
      <c r="P59" s="2">
        <f>SUM(OSRRefP22_11x_0)</f>
        <v>2129.2399999999998</v>
      </c>
      <c r="Q59" s="2"/>
      <c r="R59" s="6">
        <f t="shared" si="12"/>
        <v>5.531255095669145E-4</v>
      </c>
      <c r="S59" s="2"/>
      <c r="T59" s="2">
        <f>SUM(OSRRefT22_11x_0)</f>
        <v>3353.95</v>
      </c>
      <c r="U59" s="2"/>
      <c r="V59" s="6">
        <f t="shared" si="13"/>
        <v>4.5585367178005553E-3</v>
      </c>
      <c r="W59" s="2"/>
      <c r="X59" s="2">
        <f t="shared" si="14"/>
        <v>-1224.71</v>
      </c>
      <c r="Y59" s="2"/>
      <c r="Z59" s="6">
        <f t="shared" si="15"/>
        <v>-0.36515451929814102</v>
      </c>
    </row>
    <row r="60" spans="1:26" s="69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>
        <v>10.93</v>
      </c>
      <c r="E60" s="3"/>
      <c r="F60" s="7">
        <f t="shared" si="8"/>
        <v>1.6121788801115199E-5</v>
      </c>
      <c r="G60" s="3"/>
      <c r="H60" s="8">
        <v>9.5399999999999991</v>
      </c>
      <c r="I60" s="3"/>
      <c r="J60" s="7">
        <f t="shared" si="9"/>
        <v>1.1270952274960195E-4</v>
      </c>
      <c r="K60" s="3"/>
      <c r="L60" s="8">
        <f t="shared" si="10"/>
        <v>1.3900000000000006</v>
      </c>
      <c r="M60" s="3"/>
      <c r="N60" s="7">
        <f t="shared" si="11"/>
        <v>0.14570230607966464</v>
      </c>
      <c r="O60" s="12"/>
      <c r="P60" s="8">
        <v>284.70999999999998</v>
      </c>
      <c r="Q60" s="3"/>
      <c r="R60" s="7">
        <f t="shared" si="12"/>
        <v>7.3960832892861413E-5</v>
      </c>
      <c r="S60" s="3"/>
      <c r="T60" s="8">
        <v>1598.93</v>
      </c>
      <c r="U60" s="3"/>
      <c r="V60" s="7">
        <f t="shared" si="13"/>
        <v>2.1731931347196121E-3</v>
      </c>
      <c r="W60" s="3"/>
      <c r="X60" s="8">
        <f t="shared" si="14"/>
        <v>-1314.22</v>
      </c>
      <c r="Y60" s="3"/>
      <c r="Z60" s="7">
        <f t="shared" si="15"/>
        <v>-0.82193717048276038</v>
      </c>
    </row>
    <row r="61" spans="1:26" s="69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8"/>
      <c r="E61" s="3"/>
      <c r="F61" s="7">
        <f t="shared" si="8"/>
        <v>0</v>
      </c>
      <c r="G61" s="3"/>
      <c r="H61" s="8">
        <v>78.2</v>
      </c>
      <c r="I61" s="3"/>
      <c r="J61" s="7">
        <f t="shared" si="9"/>
        <v>9.2388728291602456E-4</v>
      </c>
      <c r="K61" s="3"/>
      <c r="L61" s="8">
        <f t="shared" si="10"/>
        <v>-78.2</v>
      </c>
      <c r="M61" s="3"/>
      <c r="N61" s="7">
        <f t="shared" si="11"/>
        <v>-1</v>
      </c>
      <c r="O61" s="12"/>
      <c r="P61" s="8">
        <v>1844.53</v>
      </c>
      <c r="Q61" s="3"/>
      <c r="R61" s="7">
        <f t="shared" si="12"/>
        <v>4.7916467667405318E-4</v>
      </c>
      <c r="S61" s="3"/>
      <c r="T61" s="8">
        <v>1755.02</v>
      </c>
      <c r="U61" s="3"/>
      <c r="V61" s="7">
        <f t="shared" si="13"/>
        <v>2.3853435830809436E-3</v>
      </c>
      <c r="W61" s="3"/>
      <c r="X61" s="8">
        <f t="shared" si="14"/>
        <v>89.509999999999991</v>
      </c>
      <c r="Y61" s="3"/>
      <c r="Z61" s="7">
        <f t="shared" si="15"/>
        <v>5.1002267780424153E-2</v>
      </c>
    </row>
    <row r="62" spans="1:26" s="68" customFormat="1" ht="15" customHeight="1" outlineLevel="1" collapsed="1" x14ac:dyDescent="0.3">
      <c r="A62" s="25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6713.77</v>
      </c>
      <c r="E62" s="2"/>
      <c r="F62" s="6">
        <f t="shared" si="8"/>
        <v>9.9028345836471368E-3</v>
      </c>
      <c r="G62" s="2"/>
      <c r="H62" s="2">
        <f>SUM(OSRRefH22_12x_0)</f>
        <v>5542.82</v>
      </c>
      <c r="I62" s="2"/>
      <c r="J62" s="6">
        <f t="shared" si="9"/>
        <v>6.5485177870749353E-2</v>
      </c>
      <c r="K62" s="2"/>
      <c r="L62" s="2">
        <f t="shared" si="10"/>
        <v>1170.9500000000007</v>
      </c>
      <c r="M62" s="2"/>
      <c r="N62" s="6">
        <f t="shared" si="11"/>
        <v>0.2112552816075573</v>
      </c>
      <c r="O62" s="14"/>
      <c r="P62" s="2">
        <f>SUM(OSRRefP22_12x_0)</f>
        <v>52463.75</v>
      </c>
      <c r="Q62" s="2"/>
      <c r="R62" s="6">
        <f t="shared" si="12"/>
        <v>1.3628824581795014E-2</v>
      </c>
      <c r="S62" s="2"/>
      <c r="T62" s="2">
        <f>SUM(OSRRefT22_12x_0)</f>
        <v>38254.639999999999</v>
      </c>
      <c r="U62" s="2"/>
      <c r="V62" s="6">
        <f t="shared" si="13"/>
        <v>5.199397160549258E-2</v>
      </c>
      <c r="W62" s="2"/>
      <c r="X62" s="2">
        <f t="shared" si="14"/>
        <v>14209.11</v>
      </c>
      <c r="Y62" s="2"/>
      <c r="Z62" s="6">
        <f t="shared" si="15"/>
        <v>0.37143494227105522</v>
      </c>
    </row>
    <row r="63" spans="1:26" s="69" customFormat="1" ht="15" hidden="1" customHeight="1" outlineLevel="2" x14ac:dyDescent="0.3">
      <c r="A63" s="26"/>
      <c r="B63" s="12" t="str">
        <f>CONCATENATE("          ","6282"," - ","JANITORIAL/EXTERMINATOR EXPENS")</f>
        <v xml:space="preserve">          6282 - JANITORIAL/EXTERMINATOR EXPENS</v>
      </c>
      <c r="C63" s="12"/>
      <c r="D63" s="8">
        <v>459.25</v>
      </c>
      <c r="E63" s="3"/>
      <c r="F63" s="7">
        <f t="shared" si="8"/>
        <v>6.7739538032133173E-4</v>
      </c>
      <c r="G63" s="3"/>
      <c r="H63" s="8">
        <v>421.34</v>
      </c>
      <c r="I63" s="3"/>
      <c r="J63" s="7">
        <f t="shared" si="9"/>
        <v>4.977885777286928E-3</v>
      </c>
      <c r="K63" s="3"/>
      <c r="L63" s="8">
        <f t="shared" si="10"/>
        <v>37.910000000000025</v>
      </c>
      <c r="M63" s="3"/>
      <c r="N63" s="7">
        <f t="shared" si="11"/>
        <v>8.9974842170218894E-2</v>
      </c>
      <c r="O63" s="12"/>
      <c r="P63" s="8">
        <v>4577.55</v>
      </c>
      <c r="Q63" s="3"/>
      <c r="R63" s="7">
        <f t="shared" si="12"/>
        <v>1.1891377563440616E-3</v>
      </c>
      <c r="S63" s="3"/>
      <c r="T63" s="8">
        <v>2817.42</v>
      </c>
      <c r="U63" s="3"/>
      <c r="V63" s="7">
        <f t="shared" si="13"/>
        <v>3.8293094767261416E-3</v>
      </c>
      <c r="W63" s="3"/>
      <c r="X63" s="8">
        <f t="shared" si="14"/>
        <v>1760.13</v>
      </c>
      <c r="Y63" s="3"/>
      <c r="Z63" s="7">
        <f t="shared" si="15"/>
        <v>0.62473113699767879</v>
      </c>
    </row>
    <row r="64" spans="1:26" s="69" customFormat="1" ht="15" hidden="1" customHeight="1" outlineLevel="2" x14ac:dyDescent="0.3">
      <c r="A64" s="26"/>
      <c r="B64" s="12" t="str">
        <f>CONCATENATE("          ","6284"," - ","TRASH REMOVAL EXPENSE")</f>
        <v xml:space="preserve">          6284 - TRASH REMOVAL EXPENSE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/>
      <c r="Q64" s="3"/>
      <c r="R64" s="7">
        <f t="shared" si="12"/>
        <v>0</v>
      </c>
      <c r="S64" s="3"/>
      <c r="T64" s="8">
        <v>282.75</v>
      </c>
      <c r="U64" s="3"/>
      <c r="V64" s="7">
        <f t="shared" si="13"/>
        <v>3.843009755536329E-4</v>
      </c>
      <c r="W64" s="3"/>
      <c r="X64" s="8">
        <f t="shared" si="14"/>
        <v>-282.75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6"/>
      <c r="B65" s="12" t="str">
        <f>CONCATENATE("          ","6285"," - ","JANITORIAL SERVICES")</f>
        <v xml:space="preserve">          6285 - JANITORIAL SERVICES</v>
      </c>
      <c r="C65" s="12"/>
      <c r="D65" s="8">
        <v>5291.22</v>
      </c>
      <c r="E65" s="3"/>
      <c r="F65" s="7">
        <f t="shared" si="8"/>
        <v>7.8045682836447184E-3</v>
      </c>
      <c r="G65" s="3"/>
      <c r="H65" s="8">
        <v>4468.33</v>
      </c>
      <c r="I65" s="3"/>
      <c r="J65" s="7">
        <f t="shared" si="9"/>
        <v>5.2790706686344759E-2</v>
      </c>
      <c r="K65" s="3"/>
      <c r="L65" s="8">
        <f t="shared" si="10"/>
        <v>822.89000000000033</v>
      </c>
      <c r="M65" s="3"/>
      <c r="N65" s="7">
        <f t="shared" si="11"/>
        <v>0.18416052529692309</v>
      </c>
      <c r="O65" s="12"/>
      <c r="P65" s="8">
        <v>39671.279999999999</v>
      </c>
      <c r="Q65" s="3"/>
      <c r="R65" s="7">
        <f t="shared" si="12"/>
        <v>1.030564753863902E-2</v>
      </c>
      <c r="S65" s="3"/>
      <c r="T65" s="8">
        <v>29139.29</v>
      </c>
      <c r="U65" s="3"/>
      <c r="V65" s="7">
        <f t="shared" si="13"/>
        <v>3.9604801322511832E-2</v>
      </c>
      <c r="W65" s="3"/>
      <c r="X65" s="8">
        <f t="shared" si="14"/>
        <v>10531.989999999998</v>
      </c>
      <c r="Y65" s="3"/>
      <c r="Z65" s="7">
        <f t="shared" si="15"/>
        <v>0.36143605420722325</v>
      </c>
    </row>
    <row r="66" spans="1:26" s="69" customFormat="1" ht="15" hidden="1" customHeight="1" outlineLevel="2" x14ac:dyDescent="0.3">
      <c r="A66" s="26"/>
      <c r="B66" s="12" t="str">
        <f>CONCATENATE("          ","6286"," - ","LAUNDRY EXPENSE")</f>
        <v xml:space="preserve">          6286 - LAUNDRY EXPENSE</v>
      </c>
      <c r="C66" s="12"/>
      <c r="D66" s="8">
        <v>963.3</v>
      </c>
      <c r="E66" s="3"/>
      <c r="F66" s="7">
        <f t="shared" si="8"/>
        <v>1.4208709196810861E-3</v>
      </c>
      <c r="G66" s="3"/>
      <c r="H66" s="8">
        <v>653.15</v>
      </c>
      <c r="I66" s="3"/>
      <c r="J66" s="7">
        <f t="shared" si="9"/>
        <v>7.7165854071176649E-3</v>
      </c>
      <c r="K66" s="3"/>
      <c r="L66" s="8">
        <f t="shared" si="10"/>
        <v>310.14999999999998</v>
      </c>
      <c r="M66" s="3"/>
      <c r="N66" s="7">
        <f t="shared" si="11"/>
        <v>0.47485263721962795</v>
      </c>
      <c r="O66" s="12"/>
      <c r="P66" s="8">
        <v>8214.92</v>
      </c>
      <c r="Q66" s="3"/>
      <c r="R66" s="7">
        <f t="shared" si="12"/>
        <v>2.1340392868119322E-3</v>
      </c>
      <c r="S66" s="3"/>
      <c r="T66" s="8">
        <v>6015.18</v>
      </c>
      <c r="U66" s="3"/>
      <c r="V66" s="7">
        <f t="shared" si="13"/>
        <v>8.1755598307009791E-3</v>
      </c>
      <c r="W66" s="3"/>
      <c r="X66" s="8">
        <f t="shared" si="14"/>
        <v>2199.7399999999998</v>
      </c>
      <c r="Y66" s="3"/>
      <c r="Z66" s="7">
        <f t="shared" si="15"/>
        <v>0.36569811709707767</v>
      </c>
    </row>
    <row r="67" spans="1:26" s="68" customFormat="1" ht="15" customHeight="1" outlineLevel="1" collapsed="1" x14ac:dyDescent="0.3">
      <c r="A67" s="25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2">
        <f>SUM(OSRRefD22_13x_0)</f>
        <v>0</v>
      </c>
      <c r="E67" s="2"/>
      <c r="F67" s="6">
        <f t="shared" si="8"/>
        <v>0</v>
      </c>
      <c r="G67" s="2"/>
      <c r="H67" s="2">
        <f>SUM(OSRRefH22_13x_0)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SUM(OSRRefP22_13x_0)</f>
        <v>0</v>
      </c>
      <c r="Q67" s="2"/>
      <c r="R67" s="6">
        <f t="shared" si="12"/>
        <v>0</v>
      </c>
      <c r="S67" s="2"/>
      <c r="T67" s="2">
        <f>SUM(OSRRefT22_13x_0)</f>
        <v>795</v>
      </c>
      <c r="U67" s="2"/>
      <c r="V67" s="6">
        <f t="shared" si="13"/>
        <v>1.0805279418749361E-3</v>
      </c>
      <c r="W67" s="2"/>
      <c r="X67" s="2">
        <f t="shared" si="14"/>
        <v>-795</v>
      </c>
      <c r="Y67" s="2"/>
      <c r="Z67" s="6">
        <f t="shared" si="15"/>
        <v>-1</v>
      </c>
    </row>
    <row r="68" spans="1:26" s="69" customFormat="1" ht="15" hidden="1" customHeight="1" outlineLevel="2" x14ac:dyDescent="0.3">
      <c r="A68" s="26"/>
      <c r="B68" s="12" t="str">
        <f>CONCATENATE("          ","6258"," - ","MEMBERSHIP DUES")</f>
        <v xml:space="preserve">          6258 - MEMBERSHIP DUES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795</v>
      </c>
      <c r="U68" s="3"/>
      <c r="V68" s="7">
        <f t="shared" si="13"/>
        <v>1.0805279418749361E-3</v>
      </c>
      <c r="W68" s="3"/>
      <c r="X68" s="8">
        <f t="shared" si="14"/>
        <v>-795</v>
      </c>
      <c r="Y68" s="3"/>
      <c r="Z68" s="7">
        <f t="shared" si="15"/>
        <v>-1</v>
      </c>
    </row>
    <row r="69" spans="1:26" s="68" customFormat="1" ht="15" customHeight="1" outlineLevel="1" collapsed="1" x14ac:dyDescent="0.3">
      <c r="A69" s="25"/>
      <c r="B69" s="14" t="str">
        <f>CONCATENATE("     ","Supplies                                          ")</f>
        <v xml:space="preserve">     Supplies                                          </v>
      </c>
      <c r="C69" s="14"/>
      <c r="D69" s="2">
        <f>SUM(OSRRefD22_14x_0)</f>
        <v>12671.26</v>
      </c>
      <c r="E69" s="2"/>
      <c r="F69" s="6">
        <f t="shared" si="8"/>
        <v>1.8690153482526898E-2</v>
      </c>
      <c r="G69" s="2"/>
      <c r="H69" s="2">
        <f>SUM(OSRRefH22_14x_0)</f>
        <v>12072.349999999999</v>
      </c>
      <c r="I69" s="2"/>
      <c r="J69" s="6">
        <f t="shared" si="9"/>
        <v>0.14262775754362234</v>
      </c>
      <c r="K69" s="2"/>
      <c r="L69" s="2">
        <f t="shared" si="10"/>
        <v>598.91000000000167</v>
      </c>
      <c r="M69" s="2"/>
      <c r="N69" s="6">
        <f t="shared" si="11"/>
        <v>4.9610059350499426E-2</v>
      </c>
      <c r="O69" s="14"/>
      <c r="P69" s="2">
        <f>SUM(OSRRefP22_14x_0)</f>
        <v>118702.89</v>
      </c>
      <c r="Q69" s="2"/>
      <c r="R69" s="6">
        <f t="shared" si="12"/>
        <v>3.0836165260053075E-2</v>
      </c>
      <c r="S69" s="2"/>
      <c r="T69" s="2">
        <f>SUM(OSRRefT22_14x_0)</f>
        <v>97449.68</v>
      </c>
      <c r="U69" s="2"/>
      <c r="V69" s="6">
        <f t="shared" si="13"/>
        <v>0.13244918511543535</v>
      </c>
      <c r="W69" s="2"/>
      <c r="X69" s="2">
        <f t="shared" si="14"/>
        <v>21253.210000000006</v>
      </c>
      <c r="Y69" s="2"/>
      <c r="Z69" s="6">
        <f t="shared" si="15"/>
        <v>0.21809420000147778</v>
      </c>
    </row>
    <row r="70" spans="1:26" s="69" customFormat="1" ht="15" hidden="1" customHeight="1" outlineLevel="2" x14ac:dyDescent="0.3">
      <c r="A70" s="26"/>
      <c r="B70" s="12" t="str">
        <f>CONCATENATE("          ","6234"," - ","EXPENDABLE SUPPLIES &amp; EQUIPMEN")</f>
        <v xml:space="preserve">          6234 - EXPENDABLE SUPPLIES &amp; EQUIPMEN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315</v>
      </c>
      <c r="Q70" s="3"/>
      <c r="R70" s="7">
        <f t="shared" si="12"/>
        <v>8.1829448776830278E-5</v>
      </c>
      <c r="S70" s="3"/>
      <c r="T70" s="8"/>
      <c r="U70" s="3"/>
      <c r="V70" s="7">
        <f t="shared" si="13"/>
        <v>0</v>
      </c>
      <c r="W70" s="3"/>
      <c r="X70" s="8">
        <f t="shared" si="14"/>
        <v>315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","6235"," - ","COVID-19 EXPENSES")</f>
        <v xml:space="preserve">          6235 - COVID-19 EXPENSES</v>
      </c>
      <c r="C71" s="12"/>
      <c r="D71" s="8">
        <v>158.76</v>
      </c>
      <c r="E71" s="3"/>
      <c r="F71" s="7">
        <f t="shared" si="8"/>
        <v>2.341715635924107E-4</v>
      </c>
      <c r="G71" s="3"/>
      <c r="H71" s="8">
        <v>2921.2</v>
      </c>
      <c r="I71" s="3"/>
      <c r="J71" s="7">
        <f t="shared" si="9"/>
        <v>3.4512270215528017E-2</v>
      </c>
      <c r="K71" s="3"/>
      <c r="L71" s="8">
        <f t="shared" si="10"/>
        <v>-2762.4399999999996</v>
      </c>
      <c r="M71" s="3"/>
      <c r="N71" s="7">
        <f t="shared" si="11"/>
        <v>-0.94565247158701893</v>
      </c>
      <c r="O71" s="12"/>
      <c r="P71" s="8">
        <v>158.76</v>
      </c>
      <c r="Q71" s="3"/>
      <c r="R71" s="7">
        <f t="shared" si="12"/>
        <v>4.1242042183522459E-5</v>
      </c>
      <c r="S71" s="3"/>
      <c r="T71" s="8">
        <v>47255.27</v>
      </c>
      <c r="U71" s="3"/>
      <c r="V71" s="7">
        <f t="shared" si="13"/>
        <v>6.4227219667728819E-2</v>
      </c>
      <c r="W71" s="3"/>
      <c r="X71" s="8">
        <f t="shared" si="14"/>
        <v>-47096.509999999995</v>
      </c>
      <c r="Y71" s="3"/>
      <c r="Z71" s="7">
        <f t="shared" si="15"/>
        <v>-0.99664037471376199</v>
      </c>
    </row>
    <row r="72" spans="1:26" s="69" customFormat="1" ht="15" hidden="1" customHeight="1" outlineLevel="2" x14ac:dyDescent="0.3">
      <c r="A72" s="26"/>
      <c r="B72" s="12" t="str">
        <f>CONCATENATE("          ","6237"," - ","JANITORIAL SUPPLIES")</f>
        <v xml:space="preserve">          6237 - JANITORIAL SUPPLIES</v>
      </c>
      <c r="C72" s="12"/>
      <c r="D72" s="8">
        <v>3139.58</v>
      </c>
      <c r="E72" s="3"/>
      <c r="F72" s="7">
        <f t="shared" si="8"/>
        <v>4.6308916453984689E-3</v>
      </c>
      <c r="G72" s="3"/>
      <c r="H72" s="8">
        <v>648.99</v>
      </c>
      <c r="I72" s="3"/>
      <c r="J72" s="7">
        <f t="shared" si="9"/>
        <v>7.667437439126225E-3</v>
      </c>
      <c r="K72" s="3"/>
      <c r="L72" s="8">
        <f t="shared" si="10"/>
        <v>2490.59</v>
      </c>
      <c r="M72" s="3"/>
      <c r="N72" s="7">
        <f t="shared" si="11"/>
        <v>3.8376400252700353</v>
      </c>
      <c r="O72" s="12"/>
      <c r="P72" s="8">
        <v>19257.02</v>
      </c>
      <c r="Q72" s="3"/>
      <c r="R72" s="7">
        <f t="shared" si="12"/>
        <v>5.0025121640774484E-3</v>
      </c>
      <c r="S72" s="3"/>
      <c r="T72" s="8">
        <v>13194.87</v>
      </c>
      <c r="U72" s="3"/>
      <c r="V72" s="7">
        <f t="shared" si="13"/>
        <v>1.7933868835732503E-2</v>
      </c>
      <c r="W72" s="3"/>
      <c r="X72" s="8">
        <f t="shared" si="14"/>
        <v>6062.15</v>
      </c>
      <c r="Y72" s="3"/>
      <c r="Z72" s="7">
        <f t="shared" si="15"/>
        <v>0.45943233999273952</v>
      </c>
    </row>
    <row r="73" spans="1:26" s="69" customFormat="1" ht="15" hidden="1" customHeight="1" outlineLevel="2" x14ac:dyDescent="0.3">
      <c r="A73" s="26"/>
      <c r="B73" s="12" t="str">
        <f>CONCATENATE("          ","6239"," - ","KITCHEN SUPPLIES")</f>
        <v xml:space="preserve">          6239 - KITCHEN SUPPLIES</v>
      </c>
      <c r="C73" s="12"/>
      <c r="D73" s="8">
        <v>582.53</v>
      </c>
      <c r="E73" s="3"/>
      <c r="F73" s="7">
        <f t="shared" si="8"/>
        <v>8.5923381796099152E-4</v>
      </c>
      <c r="G73" s="3"/>
      <c r="H73" s="8">
        <v>253.3</v>
      </c>
      <c r="I73" s="3"/>
      <c r="J73" s="7">
        <f t="shared" si="9"/>
        <v>2.9925914164019058E-3</v>
      </c>
      <c r="K73" s="3"/>
      <c r="L73" s="8">
        <f t="shared" si="10"/>
        <v>329.22999999999996</v>
      </c>
      <c r="M73" s="3"/>
      <c r="N73" s="7">
        <f t="shared" si="11"/>
        <v>1.2997631267272007</v>
      </c>
      <c r="O73" s="12"/>
      <c r="P73" s="8">
        <v>10088.780000000001</v>
      </c>
      <c r="Q73" s="3"/>
      <c r="R73" s="7">
        <f t="shared" si="12"/>
        <v>2.6208231943832057E-3</v>
      </c>
      <c r="S73" s="3"/>
      <c r="T73" s="8">
        <v>6016.26</v>
      </c>
      <c r="U73" s="3"/>
      <c r="V73" s="7">
        <f t="shared" si="13"/>
        <v>8.1770277177163567E-3</v>
      </c>
      <c r="W73" s="3"/>
      <c r="X73" s="8">
        <f t="shared" si="14"/>
        <v>4072.5200000000004</v>
      </c>
      <c r="Y73" s="3"/>
      <c r="Z73" s="7">
        <f t="shared" si="15"/>
        <v>0.67691888315996984</v>
      </c>
    </row>
    <row r="74" spans="1:26" s="69" customFormat="1" ht="15" hidden="1" customHeight="1" outlineLevel="2" x14ac:dyDescent="0.3">
      <c r="A74" s="26"/>
      <c r="B74" s="12" t="str">
        <f>CONCATENATE("          ","6241"," - ","OFFICE EXPENSE")</f>
        <v xml:space="preserve">          6241 - OFFICE EXPENSE</v>
      </c>
      <c r="C74" s="12"/>
      <c r="D74" s="8">
        <v>276.97000000000003</v>
      </c>
      <c r="E74" s="3"/>
      <c r="F74" s="7">
        <f t="shared" si="8"/>
        <v>4.0853173323374906E-4</v>
      </c>
      <c r="G74" s="3"/>
      <c r="H74" s="8">
        <v>1048.1199999999999</v>
      </c>
      <c r="I74" s="3"/>
      <c r="J74" s="7">
        <f t="shared" si="9"/>
        <v>1.2382925050766541E-2</v>
      </c>
      <c r="K74" s="3"/>
      <c r="L74" s="8">
        <f t="shared" si="10"/>
        <v>-771.14999999999986</v>
      </c>
      <c r="M74" s="3"/>
      <c r="N74" s="7">
        <f t="shared" si="11"/>
        <v>-0.73574590695721853</v>
      </c>
      <c r="O74" s="12"/>
      <c r="P74" s="8">
        <v>3858.54</v>
      </c>
      <c r="Q74" s="3"/>
      <c r="R74" s="7">
        <f t="shared" si="12"/>
        <v>1.0023561945503197E-3</v>
      </c>
      <c r="S74" s="3"/>
      <c r="T74" s="8">
        <v>5238.75</v>
      </c>
      <c r="U74" s="3"/>
      <c r="V74" s="7">
        <f t="shared" si="13"/>
        <v>7.1202713905626682E-3</v>
      </c>
      <c r="W74" s="3"/>
      <c r="X74" s="8">
        <f t="shared" si="14"/>
        <v>-1380.21</v>
      </c>
      <c r="Y74" s="3"/>
      <c r="Z74" s="7">
        <f t="shared" si="15"/>
        <v>-0.26346170365068006</v>
      </c>
    </row>
    <row r="75" spans="1:26" s="69" customFormat="1" ht="15" hidden="1" customHeight="1" outlineLevel="2" x14ac:dyDescent="0.3">
      <c r="A75" s="26"/>
      <c r="B75" s="12" t="str">
        <f>CONCATENATE("          ","6243"," - ","PAPER SUPPLIES")</f>
        <v xml:space="preserve">          6243 - PAPER SUPPLIES</v>
      </c>
      <c r="C75" s="12"/>
      <c r="D75" s="8">
        <v>8438.07</v>
      </c>
      <c r="E75" s="3"/>
      <c r="F75" s="7">
        <f t="shared" si="8"/>
        <v>1.2446183204851431E-2</v>
      </c>
      <c r="G75" s="3"/>
      <c r="H75" s="8">
        <v>7200.74</v>
      </c>
      <c r="I75" s="3"/>
      <c r="J75" s="7">
        <f t="shared" si="9"/>
        <v>8.507253342179967E-2</v>
      </c>
      <c r="K75" s="3"/>
      <c r="L75" s="8">
        <f t="shared" si="10"/>
        <v>1237.33</v>
      </c>
      <c r="M75" s="3"/>
      <c r="N75" s="7">
        <f t="shared" si="11"/>
        <v>0.17183372820015719</v>
      </c>
      <c r="O75" s="12"/>
      <c r="P75" s="8">
        <v>82694.87</v>
      </c>
      <c r="Q75" s="3"/>
      <c r="R75" s="7">
        <f t="shared" si="12"/>
        <v>2.1482144853243297E-2</v>
      </c>
      <c r="S75" s="3"/>
      <c r="T75" s="8">
        <v>21243.94</v>
      </c>
      <c r="U75" s="3"/>
      <c r="V75" s="7">
        <f t="shared" si="13"/>
        <v>2.8873799705049847E-2</v>
      </c>
      <c r="W75" s="3"/>
      <c r="X75" s="8">
        <f t="shared" si="14"/>
        <v>61450.929999999993</v>
      </c>
      <c r="Y75" s="3"/>
      <c r="Z75" s="7">
        <f t="shared" si="15"/>
        <v>2.892633381566696</v>
      </c>
    </row>
    <row r="76" spans="1:26" s="69" customFormat="1" ht="15" hidden="1" customHeight="1" outlineLevel="2" x14ac:dyDescent="0.3">
      <c r="A76" s="26"/>
      <c r="B76" s="12" t="str">
        <f>CONCATENATE("          ","6247"," - ","STORE SUPPLIES")</f>
        <v xml:space="preserve">          6247 - STORE SUPPLIES</v>
      </c>
      <c r="C76" s="12"/>
      <c r="D76" s="8">
        <v>75.349999999999994</v>
      </c>
      <c r="E76" s="3"/>
      <c r="F76" s="7">
        <f t="shared" si="8"/>
        <v>1.1114151748984724E-4</v>
      </c>
      <c r="G76" s="3"/>
      <c r="H76" s="8"/>
      <c r="I76" s="3"/>
      <c r="J76" s="7">
        <f t="shared" si="9"/>
        <v>0</v>
      </c>
      <c r="K76" s="3"/>
      <c r="L76" s="8">
        <f t="shared" si="10"/>
        <v>75.349999999999994</v>
      </c>
      <c r="M76" s="3"/>
      <c r="N76" s="7">
        <f t="shared" si="11"/>
        <v>0</v>
      </c>
      <c r="O76" s="12"/>
      <c r="P76" s="8">
        <v>459.51</v>
      </c>
      <c r="Q76" s="3"/>
      <c r="R76" s="7">
        <f t="shared" si="12"/>
        <v>1.1936968256330566E-4</v>
      </c>
      <c r="S76" s="3"/>
      <c r="T76" s="8"/>
      <c r="U76" s="3"/>
      <c r="V76" s="7">
        <f t="shared" si="13"/>
        <v>0</v>
      </c>
      <c r="W76" s="3"/>
      <c r="X76" s="8">
        <f t="shared" si="14"/>
        <v>459.51</v>
      </c>
      <c r="Y76" s="3"/>
      <c r="Z76" s="7">
        <f t="shared" si="15"/>
        <v>0</v>
      </c>
    </row>
    <row r="77" spans="1:26" s="69" customFormat="1" ht="15" hidden="1" customHeight="1" outlineLevel="2" x14ac:dyDescent="0.3">
      <c r="A77" s="26"/>
      <c r="B77" s="12" t="str">
        <f>CONCATENATE("          ","6248"," - ","UNIFORMS")</f>
        <v xml:space="preserve">          6248 - UNIFORMS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1870.41</v>
      </c>
      <c r="Q77" s="3"/>
      <c r="R77" s="7">
        <f t="shared" si="12"/>
        <v>4.8588768027514644E-4</v>
      </c>
      <c r="S77" s="3"/>
      <c r="T77" s="8">
        <v>4500.59</v>
      </c>
      <c r="U77" s="3"/>
      <c r="V77" s="7">
        <f t="shared" si="13"/>
        <v>6.1169977986451803E-3</v>
      </c>
      <c r="W77" s="3"/>
      <c r="X77" s="8">
        <f t="shared" si="14"/>
        <v>-2630.1800000000003</v>
      </c>
      <c r="Y77" s="3"/>
      <c r="Z77" s="7">
        <f t="shared" si="15"/>
        <v>-0.58440782208554887</v>
      </c>
    </row>
    <row r="78" spans="1:26" s="68" customFormat="1" ht="15" customHeight="1" outlineLevel="1" collapsed="1" x14ac:dyDescent="0.3">
      <c r="A78" s="25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SUM(OSRRefD22_15x_0)</f>
        <v>309</v>
      </c>
      <c r="E78" s="2"/>
      <c r="F78" s="6">
        <f t="shared" si="8"/>
        <v>4.5577609693912141E-4</v>
      </c>
      <c r="G78" s="2"/>
      <c r="H78" s="2">
        <f>SUM(OSRRefH22_15x_0)</f>
        <v>159</v>
      </c>
      <c r="I78" s="2"/>
      <c r="J78" s="6">
        <f t="shared" si="9"/>
        <v>1.8784920458266995E-3</v>
      </c>
      <c r="K78" s="2"/>
      <c r="L78" s="2">
        <f t="shared" si="10"/>
        <v>150</v>
      </c>
      <c r="M78" s="2"/>
      <c r="N78" s="6">
        <f t="shared" si="11"/>
        <v>0.94339622641509435</v>
      </c>
      <c r="O78" s="14"/>
      <c r="P78" s="2">
        <f>SUM(OSRRefP22_15x_0)</f>
        <v>2380</v>
      </c>
      <c r="Q78" s="2"/>
      <c r="R78" s="6">
        <f t="shared" si="12"/>
        <v>6.1826694631382875E-4</v>
      </c>
      <c r="S78" s="2"/>
      <c r="T78" s="2">
        <f>SUM(OSRRefT22_15x_0)</f>
        <v>2023</v>
      </c>
      <c r="U78" s="2"/>
      <c r="V78" s="6">
        <f t="shared" si="13"/>
        <v>2.7495698445446485E-3</v>
      </c>
      <c r="W78" s="2"/>
      <c r="X78" s="2">
        <f t="shared" si="14"/>
        <v>357</v>
      </c>
      <c r="Y78" s="2"/>
      <c r="Z78" s="6">
        <f t="shared" si="15"/>
        <v>0.17647058823529413</v>
      </c>
    </row>
    <row r="79" spans="1:26" s="69" customFormat="1" ht="15" hidden="1" customHeight="1" outlineLevel="2" x14ac:dyDescent="0.3">
      <c r="A79" s="26"/>
      <c r="B79" s="12" t="str">
        <f>CONCATENATE("          ","6309"," - ","TELEPHONE")</f>
        <v xml:space="preserve">          6309 - TELEPHONE</v>
      </c>
      <c r="C79" s="12"/>
      <c r="D79" s="8">
        <v>309</v>
      </c>
      <c r="E79" s="3"/>
      <c r="F79" s="7">
        <f t="shared" si="8"/>
        <v>4.5577609693912141E-4</v>
      </c>
      <c r="G79" s="3"/>
      <c r="H79" s="8">
        <v>159</v>
      </c>
      <c r="I79" s="3"/>
      <c r="J79" s="7">
        <f t="shared" si="9"/>
        <v>1.8784920458266995E-3</v>
      </c>
      <c r="K79" s="3"/>
      <c r="L79" s="8">
        <f t="shared" si="10"/>
        <v>150</v>
      </c>
      <c r="M79" s="3"/>
      <c r="N79" s="7">
        <f t="shared" si="11"/>
        <v>0.94339622641509435</v>
      </c>
      <c r="O79" s="12"/>
      <c r="P79" s="8">
        <v>2380</v>
      </c>
      <c r="Q79" s="3"/>
      <c r="R79" s="7">
        <f t="shared" si="12"/>
        <v>6.1826694631382875E-4</v>
      </c>
      <c r="S79" s="3"/>
      <c r="T79" s="8">
        <v>2023</v>
      </c>
      <c r="U79" s="3"/>
      <c r="V79" s="7">
        <f t="shared" si="13"/>
        <v>2.7495698445446485E-3</v>
      </c>
      <c r="W79" s="3"/>
      <c r="X79" s="8">
        <f t="shared" si="14"/>
        <v>357</v>
      </c>
      <c r="Y79" s="3"/>
      <c r="Z79" s="7">
        <f t="shared" si="15"/>
        <v>0.17647058823529413</v>
      </c>
    </row>
    <row r="80" spans="1:26" s="68" customFormat="1" ht="15" customHeight="1" outlineLevel="1" collapsed="1" x14ac:dyDescent="0.3">
      <c r="A80" s="25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SUM(OSRRefD22_16x_0)</f>
        <v>0</v>
      </c>
      <c r="E80" s="2"/>
      <c r="F80" s="6">
        <f t="shared" si="8"/>
        <v>0</v>
      </c>
      <c r="G80" s="2"/>
      <c r="H80" s="2">
        <f>SUM(OSRRefH22_16x_0)</f>
        <v>0</v>
      </c>
      <c r="I80" s="2"/>
      <c r="J80" s="6">
        <f t="shared" si="9"/>
        <v>0</v>
      </c>
      <c r="K80" s="2"/>
      <c r="L80" s="2">
        <f t="shared" si="10"/>
        <v>0</v>
      </c>
      <c r="M80" s="2"/>
      <c r="N80" s="6">
        <f t="shared" si="11"/>
        <v>0</v>
      </c>
      <c r="O80" s="14"/>
      <c r="P80" s="2">
        <f>SUM(OSRRefP22_16x_0)</f>
        <v>245</v>
      </c>
      <c r="Q80" s="2"/>
      <c r="R80" s="6">
        <f t="shared" si="12"/>
        <v>6.3645126826423554E-5</v>
      </c>
      <c r="S80" s="2"/>
      <c r="T80" s="2">
        <f>SUM(OSRRefT22_16x_0)</f>
        <v>735</v>
      </c>
      <c r="U80" s="2"/>
      <c r="V80" s="6">
        <f t="shared" si="13"/>
        <v>9.9897866324286533E-4</v>
      </c>
      <c r="W80" s="2"/>
      <c r="X80" s="2">
        <f t="shared" si="14"/>
        <v>-490</v>
      </c>
      <c r="Y80" s="2"/>
      <c r="Z80" s="6">
        <f t="shared" si="15"/>
        <v>-0.66666666666666663</v>
      </c>
    </row>
    <row r="81" spans="1:26" s="69" customFormat="1" ht="15" hidden="1" customHeight="1" outlineLevel="2" x14ac:dyDescent="0.3">
      <c r="A81" s="26"/>
      <c r="B81" s="12" t="str">
        <f>CONCATENATE("          ","6376"," - ","TRAINING")</f>
        <v xml:space="preserve">          6376 - TRAINING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245</v>
      </c>
      <c r="Q81" s="3"/>
      <c r="R81" s="7">
        <f t="shared" si="12"/>
        <v>6.3645126826423554E-5</v>
      </c>
      <c r="S81" s="3"/>
      <c r="T81" s="8">
        <v>735</v>
      </c>
      <c r="U81" s="3"/>
      <c r="V81" s="7">
        <f t="shared" si="13"/>
        <v>9.9897866324286533E-4</v>
      </c>
      <c r="W81" s="3"/>
      <c r="X81" s="8">
        <f t="shared" si="14"/>
        <v>-490</v>
      </c>
      <c r="Y81" s="3"/>
      <c r="Z81" s="7">
        <f t="shared" si="15"/>
        <v>-0.66666666666666663</v>
      </c>
    </row>
    <row r="82" spans="1:26" s="64" customFormat="1" ht="15" customHeight="1" x14ac:dyDescent="0.3">
      <c r="A82" s="36"/>
      <c r="B82" s="36"/>
      <c r="C82" s="36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O82" s="3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62" customFormat="1" ht="15" customHeight="1" x14ac:dyDescent="0.3">
      <c r="A83" s="11"/>
      <c r="B83" s="27" t="s">
        <v>290</v>
      </c>
      <c r="C83" s="11"/>
      <c r="D83" s="5">
        <f>SUM(0)</f>
        <v>0</v>
      </c>
      <c r="E83" s="5"/>
      <c r="F83" s="13">
        <f>IF(D$12=0,0,D83/D$12)</f>
        <v>0</v>
      </c>
      <c r="G83" s="5"/>
      <c r="H83" s="5">
        <f>SUM(0)</f>
        <v>0</v>
      </c>
      <c r="I83" s="5"/>
      <c r="J83" s="13">
        <f>IF(H$12=0,0,H83/H$12)</f>
        <v>0</v>
      </c>
      <c r="K83" s="5"/>
      <c r="L83" s="5">
        <f>+D83-H83</f>
        <v>0</v>
      </c>
      <c r="M83" s="5"/>
      <c r="N83" s="13">
        <f>IF(H83=0,0,L83/H83)</f>
        <v>0</v>
      </c>
      <c r="O83" s="11"/>
      <c r="P83" s="5">
        <f>SUM(0)</f>
        <v>0</v>
      </c>
      <c r="Q83" s="5"/>
      <c r="R83" s="13">
        <f>IF(P$12=0,0,P83/P$12)</f>
        <v>0</v>
      </c>
      <c r="S83" s="5"/>
      <c r="T83" s="5">
        <f>SUM(0)</f>
        <v>0</v>
      </c>
      <c r="U83" s="5"/>
      <c r="V83" s="13">
        <f>IF(T$12=0,0,T83/T$12)</f>
        <v>0</v>
      </c>
      <c r="W83" s="5"/>
      <c r="X83" s="5">
        <f>+P83-T83</f>
        <v>0</v>
      </c>
      <c r="Y83" s="5"/>
      <c r="Z83" s="13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8" t="s">
        <v>291</v>
      </c>
      <c r="C85" s="28"/>
      <c r="D85" s="23">
        <f>+D21-D23+D83</f>
        <v>307916.9099999998</v>
      </c>
      <c r="E85" s="15"/>
      <c r="F85" s="22">
        <f>IF(D$12=0,0,D85/D$12)</f>
        <v>0.45417853534418973</v>
      </c>
      <c r="G85" s="15"/>
      <c r="H85" s="23">
        <f>+H21-H23+H83</f>
        <v>-68007.880000000019</v>
      </c>
      <c r="I85" s="15"/>
      <c r="J85" s="22">
        <f>IF(H$12=0,0,H85/H$12)</f>
        <v>-0.80347334360714917</v>
      </c>
      <c r="K85" s="17"/>
      <c r="L85" s="23">
        <f>+D85-H85</f>
        <v>375924.7899999998</v>
      </c>
      <c r="M85" s="17"/>
      <c r="N85" s="22">
        <f>IF(H85=0,0,L85/H85)</f>
        <v>-5.5276651764471953</v>
      </c>
      <c r="O85" s="27"/>
      <c r="P85" s="23">
        <f>+P21-P23+P83</f>
        <v>1464190.6400000001</v>
      </c>
      <c r="Q85" s="15"/>
      <c r="R85" s="22">
        <f>IF(P$12=0,0,P85/P$12)</f>
        <v>0.3803616284933154</v>
      </c>
      <c r="S85" s="15"/>
      <c r="T85" s="23">
        <f>+T21-T23+T83</f>
        <v>-483346.31000000011</v>
      </c>
      <c r="U85" s="15"/>
      <c r="V85" s="22">
        <f>IF(T$12=0,0,T85/T$12)</f>
        <v>-0.65694238183288678</v>
      </c>
      <c r="W85" s="17"/>
      <c r="X85" s="23">
        <f>+P85-T85</f>
        <v>1947536.9500000002</v>
      </c>
      <c r="Y85" s="17"/>
      <c r="Z85" s="22">
        <f>IF(T85=0,0,X85/T85)</f>
        <v>-4.0292786139196961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48"/>
      <c r="B87" s="11" t="s">
        <v>292</v>
      </c>
      <c r="C87" s="11"/>
      <c r="D87" s="5">
        <v>60697.35</v>
      </c>
      <c r="E87" s="5"/>
      <c r="F87" s="13">
        <f>IF(D$12=0,0,D87/D$12)</f>
        <v>8.9528806723455603E-2</v>
      </c>
      <c r="G87" s="5"/>
      <c r="H87" s="5">
        <v>27511.58</v>
      </c>
      <c r="I87" s="5"/>
      <c r="J87" s="13">
        <f>IF(H$12=0,0,H87/H$12)</f>
        <v>0.32503323395047118</v>
      </c>
      <c r="K87" s="5"/>
      <c r="L87" s="5">
        <f>+D87-H87</f>
        <v>33185.769999999997</v>
      </c>
      <c r="M87" s="5"/>
      <c r="N87" s="13">
        <f>IF(H87=0,0,L87/H87)</f>
        <v>1.2062473329412557</v>
      </c>
      <c r="O87" s="11"/>
      <c r="P87" s="5">
        <v>480501.23</v>
      </c>
      <c r="Q87" s="5"/>
      <c r="R87" s="13">
        <f>IF(P$12=0,0,P87/P$12)</f>
        <v>0.12482270091266331</v>
      </c>
      <c r="S87" s="5"/>
      <c r="T87" s="5">
        <v>145705.10999999999</v>
      </c>
      <c r="U87" s="5"/>
      <c r="V87" s="13">
        <f>IF(T$12=0,0,T87/T$12)</f>
        <v>0.19803577689177504</v>
      </c>
      <c r="W87" s="5"/>
      <c r="X87" s="5">
        <f>+P87-T87</f>
        <v>334796.12</v>
      </c>
      <c r="Y87" s="5"/>
      <c r="Z87" s="13">
        <f>IF(T87=0,0,X87/T87)</f>
        <v>2.2977651229939706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8" t="s">
        <v>293</v>
      </c>
      <c r="C89" s="28"/>
      <c r="D89" s="33">
        <f>+D85-D87</f>
        <v>247219.55999999979</v>
      </c>
      <c r="E89" s="15"/>
      <c r="F89" s="34">
        <f>IF(D$12=0,0,D89/D$12)</f>
        <v>0.36464972862073414</v>
      </c>
      <c r="G89" s="15"/>
      <c r="H89" s="33">
        <f>+H85-H87</f>
        <v>-95519.460000000021</v>
      </c>
      <c r="I89" s="15"/>
      <c r="J89" s="34">
        <f>IF(H$12=0,0,H89/H$12)</f>
        <v>-1.1285065775576204</v>
      </c>
      <c r="K89" s="17"/>
      <c r="L89" s="33">
        <f>D89-H89</f>
        <v>342739.01999999979</v>
      </c>
      <c r="M89" s="17"/>
      <c r="N89" s="34">
        <f>IF(H89=0,0,L89/H89)</f>
        <v>-3.5881591039145291</v>
      </c>
      <c r="O89" s="27"/>
      <c r="P89" s="33">
        <f>+P85-P87</f>
        <v>983689.41000000015</v>
      </c>
      <c r="Q89" s="15"/>
      <c r="R89" s="34">
        <f>IF(P$12=0,0,P89/P$12)</f>
        <v>0.25553892758065211</v>
      </c>
      <c r="S89" s="15"/>
      <c r="T89" s="33">
        <f>+T85-T87</f>
        <v>-629051.42000000016</v>
      </c>
      <c r="U89" s="15"/>
      <c r="V89" s="34">
        <f>IF(T$12=0,0,T89/T$12)</f>
        <v>-0.85497815872466187</v>
      </c>
      <c r="W89" s="17"/>
      <c r="X89" s="33">
        <f>P89-T89</f>
        <v>1612740.8300000003</v>
      </c>
      <c r="Y89" s="17"/>
      <c r="Z89" s="34">
        <f>IF(T89=0,0,X89/T89)</f>
        <v>-2.5637662975150741</v>
      </c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11"/>
      <c r="B92" s="28" t="s">
        <v>296</v>
      </c>
      <c r="C92" s="28"/>
      <c r="D92" s="35">
        <f>SUM(D89:D91)</f>
        <v>247219.55999999979</v>
      </c>
      <c r="E92" s="15"/>
      <c r="F92" s="29">
        <f>IF(D$12=0,0,D92/D$12)</f>
        <v>0.36464972862073414</v>
      </c>
      <c r="G92" s="15"/>
      <c r="H92" s="35">
        <f>SUM(H89:H91)</f>
        <v>-95519.460000000021</v>
      </c>
      <c r="I92" s="15"/>
      <c r="J92" s="29">
        <f>IF(H$12=0,0,H92/H$12)</f>
        <v>-1.1285065775576204</v>
      </c>
      <c r="K92" s="17"/>
      <c r="L92" s="35">
        <f>+D92-H92</f>
        <v>342739.01999999979</v>
      </c>
      <c r="M92" s="17"/>
      <c r="N92" s="29">
        <f>IF(H92=0,0,L92/H92)</f>
        <v>-3.5881591039145291</v>
      </c>
      <c r="O92" s="27"/>
      <c r="P92" s="35">
        <f>SUM(P89:P91)</f>
        <v>983689.41000000015</v>
      </c>
      <c r="Q92" s="15"/>
      <c r="R92" s="29">
        <f>IF(P$12=0,0,P92/P$12)</f>
        <v>0.25553892758065211</v>
      </c>
      <c r="S92" s="15"/>
      <c r="T92" s="35">
        <f>SUM(T89:T91)</f>
        <v>-629051.42000000016</v>
      </c>
      <c r="U92" s="15"/>
      <c r="V92" s="29">
        <f>IF(T$12=0,0,T92/T$12)</f>
        <v>-0.85497815872466187</v>
      </c>
      <c r="W92" s="17"/>
      <c r="X92" s="35">
        <f>+P92-T92</f>
        <v>1612740.8300000003</v>
      </c>
      <c r="Y92" s="17"/>
      <c r="Z92" s="29">
        <f>IF(T92=0,0,X92/T92)</f>
        <v>-2.5637662975150741</v>
      </c>
    </row>
    <row r="93" spans="1:26" ht="15" customHeight="1" x14ac:dyDescent="0.3">
      <c r="A93" s="10"/>
      <c r="C93" s="10"/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  <row r="94" spans="1:26" ht="15" customHeight="1" x14ac:dyDescent="0.3">
      <c r="A94" s="10"/>
      <c r="B94" s="50">
        <v>44634.887810300927</v>
      </c>
      <c r="D94" s="18"/>
      <c r="E94" s="18"/>
      <c r="G94" s="18"/>
      <c r="H94" s="18"/>
      <c r="I94" s="18"/>
      <c r="J94" s="41"/>
      <c r="K94" s="18"/>
      <c r="L94" s="18"/>
      <c r="M94" s="18"/>
      <c r="P94" s="18"/>
      <c r="Q94" s="18"/>
      <c r="R94" s="41"/>
      <c r="S94" s="18"/>
      <c r="T94" s="18"/>
      <c r="U94" s="18"/>
      <c r="V94" s="41"/>
      <c r="W94" s="18"/>
      <c r="X94" s="18"/>
    </row>
    <row r="95" spans="1:26" ht="15" customHeight="1" x14ac:dyDescent="0.3">
      <c r="A95" s="10"/>
      <c r="B95" s="58" t="s">
        <v>297</v>
      </c>
      <c r="D95" s="18"/>
      <c r="E95" s="18"/>
      <c r="G95" s="18"/>
      <c r="H95" s="18"/>
      <c r="I95" s="18"/>
      <c r="J95" s="41"/>
      <c r="K95" s="18"/>
      <c r="L95" s="18"/>
      <c r="M95" s="18"/>
      <c r="P95" s="18"/>
      <c r="Q95" s="18"/>
      <c r="R95" s="41"/>
      <c r="S95" s="18"/>
      <c r="T95" s="18"/>
      <c r="U95" s="18"/>
      <c r="V95" s="41"/>
      <c r="W95" s="18"/>
      <c r="X95" s="18"/>
    </row>
    <row r="96" spans="1:26" ht="15" customHeight="1" x14ac:dyDescent="0.3">
      <c r="A96" s="10"/>
      <c r="B96" s="56"/>
      <c r="D96" s="18"/>
      <c r="E96" s="18"/>
      <c r="G96" s="18"/>
      <c r="H96" s="18"/>
      <c r="I96" s="18"/>
      <c r="J96" s="41"/>
      <c r="K96" s="18"/>
      <c r="L96" s="18"/>
      <c r="M96" s="18"/>
      <c r="P96" s="18"/>
      <c r="Q96" s="18"/>
      <c r="R96" s="41"/>
      <c r="S96" s="18"/>
      <c r="T96" s="18"/>
      <c r="U96" s="18"/>
      <c r="V96" s="41"/>
      <c r="W96" s="18"/>
      <c r="X96" s="18"/>
    </row>
    <row r="97" spans="4:24" ht="15" customHeight="1" x14ac:dyDescent="0.3">
      <c r="D97" s="18"/>
      <c r="E97" s="18"/>
      <c r="G97" s="18"/>
      <c r="H97" s="18"/>
      <c r="I97" s="18"/>
      <c r="J97" s="41"/>
      <c r="K97" s="18"/>
      <c r="L97" s="18"/>
      <c r="M97" s="18"/>
      <c r="P97" s="18"/>
      <c r="Q97" s="18"/>
      <c r="R97" s="41"/>
      <c r="S97" s="18"/>
      <c r="T97" s="18"/>
      <c r="U97" s="18"/>
      <c r="V97" s="41"/>
      <c r="W97" s="18"/>
      <c r="X97" s="18"/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B9571-227F-B148-731E-EF37A4DB5711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","450"," - ","Beachside Dining Hall")</f>
        <v>Department 450 - Beachside Dining Hall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255748.21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255748.21</v>
      </c>
      <c r="M12" s="5"/>
      <c r="N12" s="13">
        <f>IF(H12=0,0,L12/H12)</f>
        <v>0</v>
      </c>
      <c r="O12" s="11"/>
      <c r="P12" s="5">
        <f>SUM(OSRRefP13x_0)</f>
        <v>1270311.81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1270311.81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--52.48</f>
        <v>52.48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52.48</v>
      </c>
      <c r="M13" s="3"/>
      <c r="N13" s="20">
        <f>IF(H13=0,0,L13/H13)</f>
        <v>0</v>
      </c>
      <c r="O13" s="12"/>
      <c r="P13" s="3">
        <f>--245.84</f>
        <v>245.84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245.84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--254494.61</f>
        <v>254494.61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254494.61</v>
      </c>
      <c r="M14" s="3"/>
      <c r="N14" s="20">
        <f>IF(H14=0,0,L14/H14)</f>
        <v>0</v>
      </c>
      <c r="O14" s="12"/>
      <c r="P14" s="3">
        <f>--1263897.18</f>
        <v>1263897.18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1263897.18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--1201.12</f>
        <v>1201.1199999999999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1201.1199999999999</v>
      </c>
      <c r="M15" s="3"/>
      <c r="N15" s="20">
        <f>IF(H15=0,0,L15/H15)</f>
        <v>0</v>
      </c>
      <c r="O15" s="12"/>
      <c r="P15" s="3">
        <f>--6168.79</f>
        <v>6168.79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6168.79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51252.57</v>
      </c>
      <c r="E17" s="5"/>
      <c r="F17" s="13">
        <f>IF(D$12=0,0,D17/D$12)</f>
        <v>0.20040245833978662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51252.57</v>
      </c>
      <c r="M17" s="5"/>
      <c r="N17" s="13">
        <f>IF(H17=0,0,L17/H17)</f>
        <v>0</v>
      </c>
      <c r="O17" s="11"/>
      <c r="P17" s="5">
        <f>SUM(OSRRefP16x_0)</f>
        <v>313067.15999999997</v>
      </c>
      <c r="Q17" s="5"/>
      <c r="R17" s="13">
        <f>IF(P$12=0,0,P17/P$12)</f>
        <v>0.24644906670591368</v>
      </c>
      <c r="S17" s="5"/>
      <c r="T17" s="5">
        <f>SUM(OSRRefT16x_0)</f>
        <v>0</v>
      </c>
      <c r="U17" s="5"/>
      <c r="V17" s="13">
        <f>IF(T$12=0,0,T17/T$12)</f>
        <v>0</v>
      </c>
      <c r="W17" s="5"/>
      <c r="X17" s="5">
        <f>+P17-T17</f>
        <v>313067.15999999997</v>
      </c>
      <c r="Y17" s="5"/>
      <c r="Z17" s="13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57968.57</v>
      </c>
      <c r="E18" s="3"/>
      <c r="F18" s="20">
        <f>IF(D$12=0,0,D18/D$12)</f>
        <v>0.22666266168588239</v>
      </c>
      <c r="G18" s="3"/>
      <c r="H18" s="3"/>
      <c r="I18" s="3"/>
      <c r="J18" s="20">
        <f>IF(H$12=0,0,H18/H$12)</f>
        <v>0</v>
      </c>
      <c r="K18" s="3"/>
      <c r="L18" s="3">
        <f>+D18-H18</f>
        <v>57968.57</v>
      </c>
      <c r="M18" s="3"/>
      <c r="N18" s="20">
        <f>IF(H18=0,0,L18/H18)</f>
        <v>0</v>
      </c>
      <c r="O18" s="12"/>
      <c r="P18" s="3">
        <v>331562.21999999997</v>
      </c>
      <c r="Q18" s="3"/>
      <c r="R18" s="20">
        <f>IF(P$12=0,0,P18/P$12)</f>
        <v>0.26100853144079639</v>
      </c>
      <c r="S18" s="3"/>
      <c r="T18" s="3"/>
      <c r="U18" s="3"/>
      <c r="V18" s="20">
        <f>IF(T$12=0,0,T18/T$12)</f>
        <v>0</v>
      </c>
      <c r="W18" s="3"/>
      <c r="X18" s="3">
        <f>+P18-T18</f>
        <v>331562.21999999997</v>
      </c>
      <c r="Y18" s="3"/>
      <c r="Z18" s="20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-6716</v>
      </c>
      <c r="E19" s="3"/>
      <c r="F19" s="20">
        <f>IF(D$12=0,0,D19/D$12)</f>
        <v>-2.6260203346095756E-2</v>
      </c>
      <c r="G19" s="3"/>
      <c r="H19" s="3"/>
      <c r="I19" s="3"/>
      <c r="J19" s="20">
        <f>IF(H$12=0,0,H19/H$12)</f>
        <v>0</v>
      </c>
      <c r="K19" s="3"/>
      <c r="L19" s="3">
        <f>+D19-H19</f>
        <v>-6716</v>
      </c>
      <c r="M19" s="3"/>
      <c r="N19" s="20">
        <f>IF(H19=0,0,L19/H19)</f>
        <v>0</v>
      </c>
      <c r="O19" s="12"/>
      <c r="P19" s="3">
        <v>-18495.060000000001</v>
      </c>
      <c r="Q19" s="3"/>
      <c r="R19" s="20">
        <f>IF(P$12=0,0,P19/P$12)</f>
        <v>-1.4559464734882691E-2</v>
      </c>
      <c r="S19" s="3"/>
      <c r="T19" s="3"/>
      <c r="U19" s="3"/>
      <c r="V19" s="20">
        <f>IF(T$12=0,0,T19/T$12)</f>
        <v>0</v>
      </c>
      <c r="W19" s="3"/>
      <c r="X19" s="3">
        <f>+P19-T19</f>
        <v>-18495.060000000001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3">
        <f>D12-D17</f>
        <v>204495.63999999998</v>
      </c>
      <c r="E21" s="15"/>
      <c r="F21" s="22">
        <f>IF(D$12=0,0,D21/D$12)</f>
        <v>0.79959754166021335</v>
      </c>
      <c r="G21" s="15"/>
      <c r="H21" s="23">
        <f>H12-H17</f>
        <v>0</v>
      </c>
      <c r="I21" s="15"/>
      <c r="J21" s="22">
        <f>IF(H$12=0,0,H21/H$12)</f>
        <v>0</v>
      </c>
      <c r="K21" s="17"/>
      <c r="L21" s="23">
        <f>+D21-H21</f>
        <v>204495.63999999998</v>
      </c>
      <c r="M21" s="17"/>
      <c r="N21" s="22">
        <f>IF(H21=0,0,L21/H21)</f>
        <v>0</v>
      </c>
      <c r="O21" s="27"/>
      <c r="P21" s="23">
        <f>P12-P17</f>
        <v>957244.65000000014</v>
      </c>
      <c r="Q21" s="15"/>
      <c r="R21" s="22">
        <f>IF(P$12=0,0,P21/P$12)</f>
        <v>0.7535509332940864</v>
      </c>
      <c r="S21" s="15"/>
      <c r="T21" s="23">
        <f>T12-T17</f>
        <v>0</v>
      </c>
      <c r="U21" s="15"/>
      <c r="V21" s="22">
        <f>IF(T$12=0,0,T21/T$12)</f>
        <v>0</v>
      </c>
      <c r="W21" s="17"/>
      <c r="X21" s="23">
        <f>+P21-T21</f>
        <v>957244.65000000014</v>
      </c>
      <c r="Y21" s="17"/>
      <c r="Z21" s="22">
        <f>IF(T21=0,0,X21/T21)</f>
        <v>0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1" cm="1">
        <f t="array" ref="D23">SUM(OSRRefD22x_0)</f>
        <v>133254.39999999999</v>
      </c>
      <c r="E23" s="21"/>
      <c r="F23" s="30">
        <f t="shared" ref="F23:F54" si="0">IF(D$12=0,0,D23/D$12)</f>
        <v>0.52103746884484547</v>
      </c>
      <c r="G23" s="21"/>
      <c r="H23" s="21" cm="1">
        <f t="array" ref="H23">SUM(OSRRefH22x_0)</f>
        <v>37497.520000000004</v>
      </c>
      <c r="I23" s="21"/>
      <c r="J23" s="30">
        <f t="shared" ref="J23:J54" si="1">IF(H$12=0,0,H23/H$12)</f>
        <v>0</v>
      </c>
      <c r="K23" s="5"/>
      <c r="L23" s="21">
        <f t="shared" ref="L23:L54" si="2">+D23-H23</f>
        <v>95756.87999999999</v>
      </c>
      <c r="M23" s="5"/>
      <c r="N23" s="30">
        <f t="shared" ref="N23:N54" si="3">IF(H23=0,0,L23/H23)</f>
        <v>2.5536856837465511</v>
      </c>
      <c r="O23" s="11"/>
      <c r="P23" s="21" cm="1">
        <f t="array" ref="P23">SUM(OSRRefP22x_0)</f>
        <v>879755.81</v>
      </c>
      <c r="Q23" s="21"/>
      <c r="R23" s="30">
        <f t="shared" ref="R23:R54" si="4">IF(P$12=0,0,P23/P$12)</f>
        <v>0.69255107531433568</v>
      </c>
      <c r="S23" s="21"/>
      <c r="T23" s="21" cm="1">
        <f t="array" ref="T23">SUM(OSRRefT22x_0)</f>
        <v>327584.5199999999</v>
      </c>
      <c r="U23" s="21"/>
      <c r="V23" s="30">
        <f t="shared" ref="V23:V54" si="5">IF(T$12=0,0,T23/T$12)</f>
        <v>0</v>
      </c>
      <c r="W23" s="5"/>
      <c r="X23" s="21">
        <f t="shared" ref="X23:X54" si="6">+P23-T23</f>
        <v>552171.29000000015</v>
      </c>
      <c r="Y23" s="5"/>
      <c r="Z23" s="30">
        <f t="shared" ref="Z23:Z54" si="7">IF(T23=0,0,X23/T23)</f>
        <v>1.6855841967135696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25878.030000000002</v>
      </c>
      <c r="E24" s="2"/>
      <c r="F24" s="6">
        <f t="shared" si="0"/>
        <v>0.10118557623531364</v>
      </c>
      <c r="G24" s="2"/>
      <c r="H24" s="2">
        <f>SUM(OSRRefH22_0x_0)</f>
        <v>19163.940000000002</v>
      </c>
      <c r="I24" s="2"/>
      <c r="J24" s="6">
        <f t="shared" si="1"/>
        <v>0</v>
      </c>
      <c r="K24" s="2"/>
      <c r="L24" s="2">
        <f t="shared" si="2"/>
        <v>6714.09</v>
      </c>
      <c r="M24" s="2"/>
      <c r="N24" s="6">
        <f t="shared" si="3"/>
        <v>0.35035018894861908</v>
      </c>
      <c r="O24" s="14"/>
      <c r="P24" s="2">
        <f>SUM(OSRRefP22_0x_0)</f>
        <v>185614.12999999998</v>
      </c>
      <c r="Q24" s="2"/>
      <c r="R24" s="6">
        <f t="shared" si="4"/>
        <v>0.14611698367190648</v>
      </c>
      <c r="S24" s="2"/>
      <c r="T24" s="2">
        <f>SUM(OSRRefT22_0x_0)</f>
        <v>155609.54999999999</v>
      </c>
      <c r="U24" s="2"/>
      <c r="V24" s="6">
        <f t="shared" si="5"/>
        <v>0</v>
      </c>
      <c r="W24" s="2"/>
      <c r="X24" s="2">
        <f t="shared" si="6"/>
        <v>30004.579999999987</v>
      </c>
      <c r="Y24" s="2"/>
      <c r="Z24" s="6">
        <f t="shared" si="7"/>
        <v>0.19281965663418466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3555.4</v>
      </c>
      <c r="E25" s="3"/>
      <c r="F25" s="7">
        <f t="shared" si="0"/>
        <v>1.3901954582595124E-2</v>
      </c>
      <c r="G25" s="3"/>
      <c r="H25" s="8">
        <v>1547.59</v>
      </c>
      <c r="I25" s="3"/>
      <c r="J25" s="7">
        <f t="shared" si="1"/>
        <v>0</v>
      </c>
      <c r="K25" s="3"/>
      <c r="L25" s="8">
        <f t="shared" si="2"/>
        <v>2007.8100000000002</v>
      </c>
      <c r="M25" s="3"/>
      <c r="N25" s="7">
        <f t="shared" si="3"/>
        <v>1.2973785046427027</v>
      </c>
      <c r="O25" s="12"/>
      <c r="P25" s="8">
        <v>24432.57</v>
      </c>
      <c r="Q25" s="3"/>
      <c r="R25" s="7">
        <f t="shared" si="4"/>
        <v>1.9233521886252478E-2</v>
      </c>
      <c r="S25" s="3"/>
      <c r="T25" s="8">
        <v>13412.49</v>
      </c>
      <c r="U25" s="3"/>
      <c r="V25" s="7">
        <f t="shared" si="5"/>
        <v>0</v>
      </c>
      <c r="W25" s="3"/>
      <c r="X25" s="8">
        <f t="shared" si="6"/>
        <v>11020.08</v>
      </c>
      <c r="Y25" s="3"/>
      <c r="Z25" s="7">
        <f t="shared" si="7"/>
        <v>0.8216281987908286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2480</v>
      </c>
      <c r="E26" s="3"/>
      <c r="F26" s="7">
        <f t="shared" si="0"/>
        <v>9.6970375667536444E-3</v>
      </c>
      <c r="G26" s="3"/>
      <c r="H26" s="8">
        <v>901.85</v>
      </c>
      <c r="I26" s="3"/>
      <c r="J26" s="7">
        <f t="shared" si="1"/>
        <v>0</v>
      </c>
      <c r="K26" s="3"/>
      <c r="L26" s="8">
        <f t="shared" si="2"/>
        <v>1578.15</v>
      </c>
      <c r="M26" s="3"/>
      <c r="N26" s="7">
        <f t="shared" si="3"/>
        <v>1.7499029772135057</v>
      </c>
      <c r="O26" s="12"/>
      <c r="P26" s="8">
        <v>15632.9</v>
      </c>
      <c r="Q26" s="3"/>
      <c r="R26" s="7">
        <f t="shared" si="4"/>
        <v>1.2306348627901051E-2</v>
      </c>
      <c r="S26" s="3"/>
      <c r="T26" s="8">
        <v>7459.57</v>
      </c>
      <c r="U26" s="3"/>
      <c r="V26" s="7">
        <f t="shared" si="5"/>
        <v>0</v>
      </c>
      <c r="W26" s="3"/>
      <c r="X26" s="8">
        <f t="shared" si="6"/>
        <v>8173.33</v>
      </c>
      <c r="Y26" s="3"/>
      <c r="Z26" s="7">
        <f t="shared" si="7"/>
        <v>1.0956837994683339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12774.24</v>
      </c>
      <c r="E27" s="3"/>
      <c r="F27" s="7">
        <f t="shared" si="0"/>
        <v>4.9948502083357688E-2</v>
      </c>
      <c r="G27" s="3"/>
      <c r="H27" s="8">
        <v>12477.88</v>
      </c>
      <c r="I27" s="3"/>
      <c r="J27" s="7">
        <f t="shared" si="1"/>
        <v>0</v>
      </c>
      <c r="K27" s="3"/>
      <c r="L27" s="8">
        <f t="shared" si="2"/>
        <v>296.36000000000058</v>
      </c>
      <c r="M27" s="3"/>
      <c r="N27" s="7">
        <f t="shared" si="3"/>
        <v>2.3750829467826313E-2</v>
      </c>
      <c r="O27" s="12"/>
      <c r="P27" s="8">
        <v>97025.85</v>
      </c>
      <c r="Q27" s="3"/>
      <c r="R27" s="7">
        <f t="shared" si="4"/>
        <v>7.6379554402473834E-2</v>
      </c>
      <c r="S27" s="3"/>
      <c r="T27" s="8">
        <v>100657.38</v>
      </c>
      <c r="U27" s="3"/>
      <c r="V27" s="7">
        <f t="shared" si="5"/>
        <v>0</v>
      </c>
      <c r="W27" s="3"/>
      <c r="X27" s="8">
        <f t="shared" si="6"/>
        <v>-3631.5299999999988</v>
      </c>
      <c r="Y27" s="3"/>
      <c r="Z27" s="7">
        <f t="shared" si="7"/>
        <v>-3.6078129591690135E-2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179.15</v>
      </c>
      <c r="E28" s="3"/>
      <c r="F28" s="7">
        <f t="shared" si="0"/>
        <v>7.0049366132415945E-4</v>
      </c>
      <c r="G28" s="3"/>
      <c r="H28" s="8">
        <v>54.66</v>
      </c>
      <c r="I28" s="3"/>
      <c r="J28" s="7">
        <f t="shared" si="1"/>
        <v>0</v>
      </c>
      <c r="K28" s="3"/>
      <c r="L28" s="8">
        <f t="shared" si="2"/>
        <v>124.49000000000001</v>
      </c>
      <c r="M28" s="3"/>
      <c r="N28" s="7">
        <f t="shared" si="3"/>
        <v>2.2775338455909262</v>
      </c>
      <c r="O28" s="12"/>
      <c r="P28" s="8">
        <v>1129.08</v>
      </c>
      <c r="Q28" s="3"/>
      <c r="R28" s="7">
        <f t="shared" si="4"/>
        <v>8.8882114699067455E-4</v>
      </c>
      <c r="S28" s="3"/>
      <c r="T28" s="8">
        <v>460.76</v>
      </c>
      <c r="U28" s="3"/>
      <c r="V28" s="7">
        <f t="shared" si="5"/>
        <v>0</v>
      </c>
      <c r="W28" s="3"/>
      <c r="X28" s="8">
        <f t="shared" si="6"/>
        <v>668.31999999999994</v>
      </c>
      <c r="Y28" s="3"/>
      <c r="Z28" s="7">
        <f t="shared" si="7"/>
        <v>1.4504731313482071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1240.45</v>
      </c>
      <c r="E29" s="3"/>
      <c r="F29" s="7">
        <f t="shared" si="0"/>
        <v>4.8502783264836929E-3</v>
      </c>
      <c r="G29" s="3"/>
      <c r="H29" s="8">
        <v>494.19</v>
      </c>
      <c r="I29" s="3"/>
      <c r="J29" s="7">
        <f t="shared" si="1"/>
        <v>0</v>
      </c>
      <c r="K29" s="3"/>
      <c r="L29" s="8">
        <f t="shared" si="2"/>
        <v>746.26</v>
      </c>
      <c r="M29" s="3"/>
      <c r="N29" s="7">
        <f t="shared" si="3"/>
        <v>1.5100669782877032</v>
      </c>
      <c r="O29" s="12"/>
      <c r="P29" s="8">
        <v>5887.59</v>
      </c>
      <c r="Q29" s="3"/>
      <c r="R29" s="7">
        <f t="shared" si="4"/>
        <v>4.6347597130502946E-3</v>
      </c>
      <c r="S29" s="3"/>
      <c r="T29" s="8">
        <v>4502.09</v>
      </c>
      <c r="U29" s="3"/>
      <c r="V29" s="7">
        <f t="shared" si="5"/>
        <v>0</v>
      </c>
      <c r="W29" s="3"/>
      <c r="X29" s="8">
        <f t="shared" si="6"/>
        <v>1385.5</v>
      </c>
      <c r="Y29" s="3"/>
      <c r="Z29" s="7">
        <f t="shared" si="7"/>
        <v>0.30774595798840093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517.77</v>
      </c>
      <c r="E30" s="3"/>
      <c r="F30" s="7">
        <f t="shared" si="0"/>
        <v>2.0245302987653363E-3</v>
      </c>
      <c r="G30" s="3"/>
      <c r="H30" s="8">
        <v>585.27</v>
      </c>
      <c r="I30" s="3"/>
      <c r="J30" s="7">
        <f t="shared" si="1"/>
        <v>0</v>
      </c>
      <c r="K30" s="3"/>
      <c r="L30" s="8">
        <f t="shared" si="2"/>
        <v>-67.5</v>
      </c>
      <c r="M30" s="3"/>
      <c r="N30" s="7">
        <f t="shared" si="3"/>
        <v>-0.11533138551437798</v>
      </c>
      <c r="O30" s="12"/>
      <c r="P30" s="8">
        <v>5554.7</v>
      </c>
      <c r="Q30" s="3"/>
      <c r="R30" s="7">
        <f t="shared" si="4"/>
        <v>4.3727059421733629E-3</v>
      </c>
      <c r="S30" s="3"/>
      <c r="T30" s="8">
        <v>4585.0600000000004</v>
      </c>
      <c r="U30" s="3"/>
      <c r="V30" s="7">
        <f t="shared" si="5"/>
        <v>0</v>
      </c>
      <c r="W30" s="3"/>
      <c r="X30" s="8">
        <f t="shared" si="6"/>
        <v>969.63999999999942</v>
      </c>
      <c r="Y30" s="3"/>
      <c r="Z30" s="7">
        <f t="shared" si="7"/>
        <v>0.2114781485956562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2175.36</v>
      </c>
      <c r="E31" s="3"/>
      <c r="F31" s="7">
        <f t="shared" si="0"/>
        <v>8.5058659843601642E-3</v>
      </c>
      <c r="G31" s="3"/>
      <c r="H31" s="8">
        <v>1248.1600000000001</v>
      </c>
      <c r="I31" s="3"/>
      <c r="J31" s="7">
        <f t="shared" si="1"/>
        <v>0</v>
      </c>
      <c r="K31" s="3"/>
      <c r="L31" s="8">
        <f t="shared" si="2"/>
        <v>927.2</v>
      </c>
      <c r="M31" s="3"/>
      <c r="N31" s="7">
        <f t="shared" si="3"/>
        <v>0.74285348032303544</v>
      </c>
      <c r="O31" s="12"/>
      <c r="P31" s="8">
        <v>14673.12</v>
      </c>
      <c r="Q31" s="3"/>
      <c r="R31" s="7">
        <f t="shared" si="4"/>
        <v>1.1550801846044397E-2</v>
      </c>
      <c r="S31" s="3"/>
      <c r="T31" s="8">
        <v>10506.37</v>
      </c>
      <c r="U31" s="3"/>
      <c r="V31" s="7">
        <f t="shared" si="5"/>
        <v>0</v>
      </c>
      <c r="W31" s="3"/>
      <c r="X31" s="8">
        <f t="shared" si="6"/>
        <v>4166.75</v>
      </c>
      <c r="Y31" s="3"/>
      <c r="Z31" s="7">
        <f t="shared" si="7"/>
        <v>0.39659273374153009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1652.22</v>
      </c>
      <c r="E32" s="3"/>
      <c r="F32" s="7">
        <f t="shared" si="0"/>
        <v>6.460338471186172E-3</v>
      </c>
      <c r="G32" s="3"/>
      <c r="H32" s="8">
        <v>950.34</v>
      </c>
      <c r="I32" s="3"/>
      <c r="J32" s="7">
        <f t="shared" si="1"/>
        <v>0</v>
      </c>
      <c r="K32" s="3"/>
      <c r="L32" s="8">
        <f t="shared" si="2"/>
        <v>701.88</v>
      </c>
      <c r="M32" s="3"/>
      <c r="N32" s="7">
        <f t="shared" si="3"/>
        <v>0.73855672706610265</v>
      </c>
      <c r="O32" s="12"/>
      <c r="P32" s="8">
        <v>12651.27</v>
      </c>
      <c r="Q32" s="3"/>
      <c r="R32" s="7">
        <f t="shared" si="4"/>
        <v>9.9591847453579137E-3</v>
      </c>
      <c r="S32" s="3"/>
      <c r="T32" s="8">
        <v>8053.05</v>
      </c>
      <c r="U32" s="3"/>
      <c r="V32" s="7">
        <f t="shared" si="5"/>
        <v>0</v>
      </c>
      <c r="W32" s="3"/>
      <c r="X32" s="8">
        <f t="shared" si="6"/>
        <v>4598.22</v>
      </c>
      <c r="Y32" s="3"/>
      <c r="Z32" s="7">
        <f t="shared" si="7"/>
        <v>0.57099111516754519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1303.44</v>
      </c>
      <c r="E33" s="3"/>
      <c r="F33" s="7">
        <f t="shared" si="0"/>
        <v>5.0965752604876496E-3</v>
      </c>
      <c r="G33" s="3"/>
      <c r="H33" s="8">
        <v>904</v>
      </c>
      <c r="I33" s="3"/>
      <c r="J33" s="7">
        <f t="shared" si="1"/>
        <v>0</v>
      </c>
      <c r="K33" s="3"/>
      <c r="L33" s="8">
        <f t="shared" si="2"/>
        <v>399.44000000000005</v>
      </c>
      <c r="M33" s="3"/>
      <c r="N33" s="7">
        <f t="shared" si="3"/>
        <v>0.44185840707964608</v>
      </c>
      <c r="O33" s="12"/>
      <c r="P33" s="8">
        <v>8627.0499999999993</v>
      </c>
      <c r="Q33" s="3"/>
      <c r="R33" s="7">
        <f t="shared" si="4"/>
        <v>6.7912853616625031E-3</v>
      </c>
      <c r="S33" s="3"/>
      <c r="T33" s="8">
        <v>5972.78</v>
      </c>
      <c r="U33" s="3"/>
      <c r="V33" s="7">
        <f t="shared" si="5"/>
        <v>0</v>
      </c>
      <c r="W33" s="3"/>
      <c r="X33" s="8">
        <f t="shared" si="6"/>
        <v>2654.2699999999995</v>
      </c>
      <c r="Y33" s="3"/>
      <c r="Z33" s="7">
        <f t="shared" si="7"/>
        <v>0.44439440260649138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69521.95</v>
      </c>
      <c r="E34" s="2"/>
      <c r="F34" s="6">
        <f t="shared" si="0"/>
        <v>0.27183748421934212</v>
      </c>
      <c r="G34" s="2"/>
      <c r="H34" s="2">
        <f>SUM(OSRRefH22_1x_0)</f>
        <v>18114.66</v>
      </c>
      <c r="I34" s="2"/>
      <c r="J34" s="6">
        <f t="shared" si="1"/>
        <v>0</v>
      </c>
      <c r="K34" s="2"/>
      <c r="L34" s="2">
        <f t="shared" si="2"/>
        <v>51407.289999999994</v>
      </c>
      <c r="M34" s="2"/>
      <c r="N34" s="6">
        <f t="shared" si="3"/>
        <v>2.83788323932108</v>
      </c>
      <c r="O34" s="14"/>
      <c r="P34" s="2">
        <f>SUM(OSRRefP22_1x_0)</f>
        <v>474128.5</v>
      </c>
      <c r="Q34" s="2"/>
      <c r="R34" s="6">
        <f t="shared" si="4"/>
        <v>0.37323789030978149</v>
      </c>
      <c r="S34" s="2"/>
      <c r="T34" s="2">
        <f>SUM(OSRRefT22_1x_0)</f>
        <v>163265.38</v>
      </c>
      <c r="U34" s="2"/>
      <c r="V34" s="6">
        <f t="shared" si="5"/>
        <v>0</v>
      </c>
      <c r="W34" s="2"/>
      <c r="X34" s="2">
        <f t="shared" si="6"/>
        <v>310863.12</v>
      </c>
      <c r="Y34" s="2"/>
      <c r="Z34" s="6">
        <f t="shared" si="7"/>
        <v>1.9040357484238237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14672.94</v>
      </c>
      <c r="E35" s="3"/>
      <c r="F35" s="7">
        <f t="shared" si="0"/>
        <v>5.73726009656138E-2</v>
      </c>
      <c r="G35" s="3"/>
      <c r="H35" s="8">
        <v>3883</v>
      </c>
      <c r="I35" s="3"/>
      <c r="J35" s="7">
        <f t="shared" si="1"/>
        <v>0</v>
      </c>
      <c r="K35" s="3"/>
      <c r="L35" s="8">
        <f t="shared" si="2"/>
        <v>10789.94</v>
      </c>
      <c r="M35" s="3"/>
      <c r="N35" s="7">
        <f t="shared" si="3"/>
        <v>2.778763842389905</v>
      </c>
      <c r="O35" s="12"/>
      <c r="P35" s="8">
        <v>63435.02</v>
      </c>
      <c r="Q35" s="3"/>
      <c r="R35" s="7">
        <f t="shared" si="4"/>
        <v>4.9936574233691487E-2</v>
      </c>
      <c r="S35" s="3"/>
      <c r="T35" s="8">
        <v>34477.99</v>
      </c>
      <c r="U35" s="3"/>
      <c r="V35" s="7">
        <f t="shared" si="5"/>
        <v>0</v>
      </c>
      <c r="W35" s="3"/>
      <c r="X35" s="8">
        <f t="shared" si="6"/>
        <v>28957.03</v>
      </c>
      <c r="Y35" s="3"/>
      <c r="Z35" s="7">
        <f t="shared" si="7"/>
        <v>0.83987001562446073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29172.51</v>
      </c>
      <c r="E36" s="3"/>
      <c r="F36" s="7">
        <f t="shared" si="0"/>
        <v>0.11406730862358723</v>
      </c>
      <c r="G36" s="3"/>
      <c r="H36" s="8">
        <v>15083.66</v>
      </c>
      <c r="I36" s="3"/>
      <c r="J36" s="7">
        <f t="shared" si="1"/>
        <v>0</v>
      </c>
      <c r="K36" s="3"/>
      <c r="L36" s="8">
        <f t="shared" si="2"/>
        <v>14088.849999999999</v>
      </c>
      <c r="M36" s="3"/>
      <c r="N36" s="7">
        <f t="shared" si="3"/>
        <v>0.93404717422694483</v>
      </c>
      <c r="O36" s="12"/>
      <c r="P36" s="8">
        <v>197574.32</v>
      </c>
      <c r="Q36" s="3"/>
      <c r="R36" s="7">
        <f t="shared" si="4"/>
        <v>0.15553214450552891</v>
      </c>
      <c r="S36" s="3"/>
      <c r="T36" s="8">
        <v>126171.39</v>
      </c>
      <c r="U36" s="3"/>
      <c r="V36" s="7">
        <f t="shared" si="5"/>
        <v>0</v>
      </c>
      <c r="W36" s="3"/>
      <c r="X36" s="8">
        <f t="shared" si="6"/>
        <v>71402.930000000008</v>
      </c>
      <c r="Y36" s="3"/>
      <c r="Z36" s="7">
        <f t="shared" si="7"/>
        <v>0.56592013450909917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9174.07</v>
      </c>
      <c r="E37" s="3"/>
      <c r="F37" s="7">
        <f t="shared" si="0"/>
        <v>3.5871492512107903E-2</v>
      </c>
      <c r="G37" s="3"/>
      <c r="H37" s="8"/>
      <c r="I37" s="3"/>
      <c r="J37" s="7">
        <f t="shared" si="1"/>
        <v>0</v>
      </c>
      <c r="K37" s="3"/>
      <c r="L37" s="8">
        <f t="shared" si="2"/>
        <v>9174.07</v>
      </c>
      <c r="M37" s="3"/>
      <c r="N37" s="7">
        <f t="shared" si="3"/>
        <v>0</v>
      </c>
      <c r="O37" s="12"/>
      <c r="P37" s="8">
        <v>81344.62</v>
      </c>
      <c r="Q37" s="3"/>
      <c r="R37" s="7">
        <f t="shared" si="4"/>
        <v>6.4035159997449756E-2</v>
      </c>
      <c r="S37" s="3"/>
      <c r="T37" s="8"/>
      <c r="U37" s="3"/>
      <c r="V37" s="7">
        <f t="shared" si="5"/>
        <v>0</v>
      </c>
      <c r="W37" s="3"/>
      <c r="X37" s="8">
        <f t="shared" si="6"/>
        <v>81344.62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9849.0300000000007</v>
      </c>
      <c r="E38" s="3"/>
      <c r="F38" s="7">
        <f t="shared" si="0"/>
        <v>3.8510650768582115E-2</v>
      </c>
      <c r="G38" s="3"/>
      <c r="H38" s="8">
        <v>-852</v>
      </c>
      <c r="I38" s="3"/>
      <c r="J38" s="7">
        <f t="shared" si="1"/>
        <v>0</v>
      </c>
      <c r="K38" s="3"/>
      <c r="L38" s="8">
        <f t="shared" si="2"/>
        <v>10701.03</v>
      </c>
      <c r="M38" s="3"/>
      <c r="N38" s="7">
        <f t="shared" si="3"/>
        <v>-12.559894366197184</v>
      </c>
      <c r="O38" s="12"/>
      <c r="P38" s="8">
        <v>101771.39</v>
      </c>
      <c r="Q38" s="3"/>
      <c r="R38" s="7">
        <f t="shared" si="4"/>
        <v>8.011528287688674E-2</v>
      </c>
      <c r="S38" s="3"/>
      <c r="T38" s="8">
        <v>2616</v>
      </c>
      <c r="U38" s="3"/>
      <c r="V38" s="7">
        <f t="shared" si="5"/>
        <v>0</v>
      </c>
      <c r="W38" s="3"/>
      <c r="X38" s="8">
        <f t="shared" si="6"/>
        <v>99155.39</v>
      </c>
      <c r="Y38" s="3"/>
      <c r="Z38" s="7">
        <f t="shared" si="7"/>
        <v>37.903436544342505</v>
      </c>
    </row>
    <row r="39" spans="1:26" s="69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>
        <v>6653.4</v>
      </c>
      <c r="E39" s="3"/>
      <c r="F39" s="7">
        <f t="shared" si="0"/>
        <v>2.6015431349451088E-2</v>
      </c>
      <c r="G39" s="3"/>
      <c r="H39" s="8"/>
      <c r="I39" s="3"/>
      <c r="J39" s="7">
        <f t="shared" si="1"/>
        <v>0</v>
      </c>
      <c r="K39" s="3"/>
      <c r="L39" s="8">
        <f t="shared" si="2"/>
        <v>6653.4</v>
      </c>
      <c r="M39" s="3"/>
      <c r="N39" s="7">
        <f t="shared" si="3"/>
        <v>0</v>
      </c>
      <c r="O39" s="12"/>
      <c r="P39" s="8">
        <v>30003.15</v>
      </c>
      <c r="Q39" s="3"/>
      <c r="R39" s="7">
        <f t="shared" si="4"/>
        <v>2.361872869622459E-2</v>
      </c>
      <c r="S39" s="3"/>
      <c r="T39" s="8"/>
      <c r="U39" s="3"/>
      <c r="V39" s="7">
        <f t="shared" si="5"/>
        <v>0</v>
      </c>
      <c r="W39" s="3"/>
      <c r="X39" s="8">
        <f t="shared" si="6"/>
        <v>30003.15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1053.75</v>
      </c>
      <c r="Q40" s="2"/>
      <c r="R40" s="6">
        <f t="shared" si="4"/>
        <v>8.2952074577658213E-4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1053.75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1053.75</v>
      </c>
      <c r="Q41" s="3"/>
      <c r="R41" s="7">
        <f t="shared" si="4"/>
        <v>8.2952074577658213E-4</v>
      </c>
      <c r="S41" s="3"/>
      <c r="T41" s="8"/>
      <c r="U41" s="3"/>
      <c r="V41" s="7">
        <f t="shared" si="5"/>
        <v>0</v>
      </c>
      <c r="W41" s="3"/>
      <c r="X41" s="8">
        <f t="shared" si="6"/>
        <v>1053.75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</v>
      </c>
      <c r="Q42" s="2"/>
      <c r="R42" s="6">
        <f t="shared" si="4"/>
        <v>6.2976663973548346E-6</v>
      </c>
      <c r="S42" s="2"/>
      <c r="T42" s="2">
        <f>SUM(OSRRefT22_3x_0)</f>
        <v>29.74</v>
      </c>
      <c r="U42" s="2"/>
      <c r="V42" s="6">
        <f t="shared" si="5"/>
        <v>0</v>
      </c>
      <c r="W42" s="2"/>
      <c r="X42" s="2">
        <f t="shared" si="6"/>
        <v>-21.74</v>
      </c>
      <c r="Y42" s="2"/>
      <c r="Z42" s="6">
        <f t="shared" si="7"/>
        <v>-0.73100201748486882</v>
      </c>
    </row>
    <row r="43" spans="1:26" s="69" customFormat="1" ht="15" hidden="1" customHeight="1" outlineLevel="2" x14ac:dyDescent="0.3">
      <c r="A43" s="26"/>
      <c r="B43" s="12" t="str">
        <f>CONCATENATE("          ","6272"," - ","CASH (OVER/SHORT)")</f>
        <v xml:space="preserve">          6272 - CASH (OVER/SHORT)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8</v>
      </c>
      <c r="Q43" s="3"/>
      <c r="R43" s="7">
        <f t="shared" si="4"/>
        <v>6.2976663973548346E-6</v>
      </c>
      <c r="S43" s="3"/>
      <c r="T43" s="8">
        <v>29.74</v>
      </c>
      <c r="U43" s="3"/>
      <c r="V43" s="7">
        <f t="shared" si="5"/>
        <v>0</v>
      </c>
      <c r="W43" s="3"/>
      <c r="X43" s="8">
        <f t="shared" si="6"/>
        <v>-21.74</v>
      </c>
      <c r="Y43" s="3"/>
      <c r="Z43" s="7">
        <f t="shared" si="7"/>
        <v>-0.73100201748486882</v>
      </c>
    </row>
    <row r="44" spans="1:26" s="68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72.959999999999994</v>
      </c>
      <c r="E44" s="2"/>
      <c r="F44" s="6">
        <f t="shared" si="0"/>
        <v>2.8528058906062331E-4</v>
      </c>
      <c r="G44" s="2"/>
      <c r="H44" s="2">
        <f>SUM(OSRRefH22_4x_0)</f>
        <v>0</v>
      </c>
      <c r="I44" s="2"/>
      <c r="J44" s="6">
        <f t="shared" si="1"/>
        <v>0</v>
      </c>
      <c r="K44" s="2"/>
      <c r="L44" s="2">
        <f t="shared" si="2"/>
        <v>72.959999999999994</v>
      </c>
      <c r="M44" s="2"/>
      <c r="N44" s="6">
        <f t="shared" si="3"/>
        <v>0</v>
      </c>
      <c r="O44" s="14"/>
      <c r="P44" s="2">
        <f>SUM(OSRRefP22_4x_0)</f>
        <v>347.99</v>
      </c>
      <c r="Q44" s="2"/>
      <c r="R44" s="6">
        <f t="shared" si="4"/>
        <v>2.7394061620193862E-4</v>
      </c>
      <c r="S44" s="2"/>
      <c r="T44" s="2">
        <f>SUM(OSRRefT22_4x_0)</f>
        <v>0</v>
      </c>
      <c r="U44" s="2"/>
      <c r="V44" s="6">
        <f t="shared" si="5"/>
        <v>0</v>
      </c>
      <c r="W44" s="2"/>
      <c r="X44" s="2">
        <f t="shared" si="6"/>
        <v>347.99</v>
      </c>
      <c r="Y44" s="2"/>
      <c r="Z44" s="6">
        <f t="shared" si="7"/>
        <v>0</v>
      </c>
    </row>
    <row r="45" spans="1:26" s="69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72.959999999999994</v>
      </c>
      <c r="E45" s="3"/>
      <c r="F45" s="7">
        <f t="shared" si="0"/>
        <v>2.8528058906062331E-4</v>
      </c>
      <c r="G45" s="3"/>
      <c r="H45" s="8"/>
      <c r="I45" s="3"/>
      <c r="J45" s="7">
        <f t="shared" si="1"/>
        <v>0</v>
      </c>
      <c r="K45" s="3"/>
      <c r="L45" s="8">
        <f t="shared" si="2"/>
        <v>72.959999999999994</v>
      </c>
      <c r="M45" s="3"/>
      <c r="N45" s="7">
        <f t="shared" si="3"/>
        <v>0</v>
      </c>
      <c r="O45" s="12"/>
      <c r="P45" s="8">
        <v>347.99</v>
      </c>
      <c r="Q45" s="3"/>
      <c r="R45" s="7">
        <f t="shared" si="4"/>
        <v>2.7394061620193862E-4</v>
      </c>
      <c r="S45" s="3"/>
      <c r="T45" s="8"/>
      <c r="U45" s="3"/>
      <c r="V45" s="7">
        <f t="shared" si="5"/>
        <v>0</v>
      </c>
      <c r="W45" s="3"/>
      <c r="X45" s="8">
        <f t="shared" si="6"/>
        <v>347.99</v>
      </c>
      <c r="Y45" s="3"/>
      <c r="Z45" s="7">
        <f t="shared" si="7"/>
        <v>0</v>
      </c>
    </row>
    <row r="46" spans="1:26" s="68" customFormat="1" ht="15" customHeight="1" outlineLevel="1" collapsed="1" x14ac:dyDescent="0.3">
      <c r="A46" s="25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213.02</v>
      </c>
      <c r="E46" s="2"/>
      <c r="F46" s="6">
        <f t="shared" si="0"/>
        <v>8.3292860583462154E-4</v>
      </c>
      <c r="G46" s="2"/>
      <c r="H46" s="2">
        <f>SUM(OSRRefH22_5x_0)</f>
        <v>213.02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1704.16</v>
      </c>
      <c r="Q46" s="2"/>
      <c r="R46" s="6">
        <f t="shared" si="4"/>
        <v>1.341528895964527E-3</v>
      </c>
      <c r="S46" s="2"/>
      <c r="T46" s="2">
        <f>SUM(OSRRefT22_5x_0)</f>
        <v>1704.16</v>
      </c>
      <c r="U46" s="2"/>
      <c r="V46" s="6">
        <f t="shared" si="5"/>
        <v>0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213.02</v>
      </c>
      <c r="E47" s="3"/>
      <c r="F47" s="7">
        <f t="shared" si="0"/>
        <v>8.3292860583462154E-4</v>
      </c>
      <c r="G47" s="3"/>
      <c r="H47" s="8">
        <v>213.02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1704.16</v>
      </c>
      <c r="Q47" s="3"/>
      <c r="R47" s="7">
        <f t="shared" si="4"/>
        <v>1.341528895964527E-3</v>
      </c>
      <c r="S47" s="3"/>
      <c r="T47" s="8">
        <v>1704.16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","Donations                                         ")</f>
        <v xml:space="preserve">     Donations                                         </v>
      </c>
      <c r="C48" s="14"/>
      <c r="D48" s="2">
        <f>SUM(OSRRefD22_6x_0)</f>
        <v>1437.97</v>
      </c>
      <c r="E48" s="2"/>
      <c r="F48" s="6">
        <f t="shared" si="0"/>
        <v>5.622600447526104E-3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1437.97</v>
      </c>
      <c r="M48" s="2"/>
      <c r="N48" s="6">
        <f t="shared" si="3"/>
        <v>0</v>
      </c>
      <c r="O48" s="14"/>
      <c r="P48" s="2">
        <f>SUM(OSRRefP22_6x_0)</f>
        <v>8165.6</v>
      </c>
      <c r="Q48" s="2"/>
      <c r="R48" s="6">
        <f t="shared" si="4"/>
        <v>6.4280280917800806E-3</v>
      </c>
      <c r="S48" s="2"/>
      <c r="T48" s="2">
        <f>SUM(OSRRefT22_6x_0)</f>
        <v>0</v>
      </c>
      <c r="U48" s="2"/>
      <c r="V48" s="6">
        <f t="shared" si="5"/>
        <v>0</v>
      </c>
      <c r="W48" s="2"/>
      <c r="X48" s="2">
        <f t="shared" si="6"/>
        <v>8165.6</v>
      </c>
      <c r="Y48" s="2"/>
      <c r="Z48" s="6">
        <f t="shared" si="7"/>
        <v>0</v>
      </c>
    </row>
    <row r="49" spans="1:26" s="69" customFormat="1" ht="15" hidden="1" customHeight="1" outlineLevel="2" x14ac:dyDescent="0.3">
      <c r="A49" s="26"/>
      <c r="B49" s="12" t="str">
        <f>CONCATENATE("          ","6399"," - ","DONATION-ON CAMPUS")</f>
        <v xml:space="preserve">          6399 - DONATION-ON CAMPUS</v>
      </c>
      <c r="C49" s="12"/>
      <c r="D49" s="8">
        <v>1437.97</v>
      </c>
      <c r="E49" s="3"/>
      <c r="F49" s="7">
        <f t="shared" si="0"/>
        <v>5.622600447526104E-3</v>
      </c>
      <c r="G49" s="3"/>
      <c r="H49" s="8"/>
      <c r="I49" s="3"/>
      <c r="J49" s="7">
        <f t="shared" si="1"/>
        <v>0</v>
      </c>
      <c r="K49" s="3"/>
      <c r="L49" s="8">
        <f t="shared" si="2"/>
        <v>1437.97</v>
      </c>
      <c r="M49" s="3"/>
      <c r="N49" s="7">
        <f t="shared" si="3"/>
        <v>0</v>
      </c>
      <c r="O49" s="12"/>
      <c r="P49" s="8">
        <v>8165.6</v>
      </c>
      <c r="Q49" s="3"/>
      <c r="R49" s="7">
        <f t="shared" si="4"/>
        <v>6.4280280917800806E-3</v>
      </c>
      <c r="S49" s="3"/>
      <c r="T49" s="8"/>
      <c r="U49" s="3"/>
      <c r="V49" s="7">
        <f t="shared" si="5"/>
        <v>0</v>
      </c>
      <c r="W49" s="3"/>
      <c r="X49" s="8">
        <f t="shared" si="6"/>
        <v>8165.6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5"/>
      <c r="B50" s="14" t="str">
        <f>CONCATENATE("     ","Employees' Appreciation                           ")</f>
        <v xml:space="preserve">     Employees' Appreciation                           </v>
      </c>
      <c r="C50" s="14"/>
      <c r="D50" s="2">
        <f>SUM(OSRRefD22_7x_0)</f>
        <v>0</v>
      </c>
      <c r="E50" s="2"/>
      <c r="F50" s="6">
        <f t="shared" si="0"/>
        <v>0</v>
      </c>
      <c r="G50" s="2"/>
      <c r="H50" s="2">
        <f>SUM(OSRRefH22_7x_0)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SUM(OSRRefP22_7x_0)</f>
        <v>90.47</v>
      </c>
      <c r="Q50" s="2"/>
      <c r="R50" s="6">
        <f t="shared" si="4"/>
        <v>7.121873487108649E-5</v>
      </c>
      <c r="S50" s="2"/>
      <c r="T50" s="2">
        <f>SUM(OSRRefT22_7x_0)</f>
        <v>0</v>
      </c>
      <c r="U50" s="2"/>
      <c r="V50" s="6">
        <f t="shared" si="5"/>
        <v>0</v>
      </c>
      <c r="W50" s="2"/>
      <c r="X50" s="2">
        <f t="shared" si="6"/>
        <v>90.47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","6277"," - ","EMPLOYEE APPRECIATION")</f>
        <v xml:space="preserve">          6277 - EMPLOYEE APPRECIATION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90.47</v>
      </c>
      <c r="Q51" s="3"/>
      <c r="R51" s="7">
        <f t="shared" si="4"/>
        <v>7.121873487108649E-5</v>
      </c>
      <c r="S51" s="3"/>
      <c r="T51" s="8"/>
      <c r="U51" s="3"/>
      <c r="V51" s="7">
        <f t="shared" si="5"/>
        <v>0</v>
      </c>
      <c r="W51" s="3"/>
      <c r="X51" s="8">
        <f t="shared" si="6"/>
        <v>90.47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0</v>
      </c>
      <c r="Q52" s="2"/>
      <c r="R52" s="6">
        <f t="shared" si="4"/>
        <v>0</v>
      </c>
      <c r="S52" s="2"/>
      <c r="T52" s="2">
        <f>SUM(OSRRefT22_8x_0)</f>
        <v>20</v>
      </c>
      <c r="U52" s="2"/>
      <c r="V52" s="6">
        <f t="shared" si="5"/>
        <v>0</v>
      </c>
      <c r="W52" s="2"/>
      <c r="X52" s="2">
        <f t="shared" si="6"/>
        <v>-20</v>
      </c>
      <c r="Y52" s="2"/>
      <c r="Z52" s="6">
        <f t="shared" si="7"/>
        <v>-1</v>
      </c>
    </row>
    <row r="53" spans="1:26" s="69" customFormat="1" ht="15" hidden="1" customHeight="1" outlineLevel="2" x14ac:dyDescent="0.3">
      <c r="A53" s="26"/>
      <c r="B53" s="12" t="str">
        <f>CONCATENATE("          ","6351"," - ","EQUIPMENT RENTAL")</f>
        <v xml:space="preserve">          6351 - EQUIPMENT RENTAL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20</v>
      </c>
      <c r="U53" s="3"/>
      <c r="V53" s="7">
        <f t="shared" si="5"/>
        <v>0</v>
      </c>
      <c r="W53" s="3"/>
      <c r="X53" s="8">
        <f t="shared" si="6"/>
        <v>-20</v>
      </c>
      <c r="Y53" s="3"/>
      <c r="Z53" s="7">
        <f t="shared" si="7"/>
        <v>-1</v>
      </c>
    </row>
    <row r="54" spans="1:26" s="68" customFormat="1" ht="15" customHeight="1" outlineLevel="1" collapsed="1" x14ac:dyDescent="0.3">
      <c r="A54" s="25"/>
      <c r="B54" s="14" t="str">
        <f>CONCATENATE("     ","General                                           ")</f>
        <v xml:space="preserve">     General                                           </v>
      </c>
      <c r="C54" s="14"/>
      <c r="D54" s="2">
        <f>SUM(OSRRefD22_9x_0)</f>
        <v>77.63</v>
      </c>
      <c r="E54" s="2"/>
      <c r="F54" s="6">
        <f t="shared" si="0"/>
        <v>3.0354073641414731E-4</v>
      </c>
      <c r="G54" s="2"/>
      <c r="H54" s="2">
        <f>SUM(OSRRefH22_9x_0)</f>
        <v>0</v>
      </c>
      <c r="I54" s="2"/>
      <c r="J54" s="6">
        <f t="shared" si="1"/>
        <v>0</v>
      </c>
      <c r="K54" s="2"/>
      <c r="L54" s="2">
        <f t="shared" si="2"/>
        <v>77.63</v>
      </c>
      <c r="M54" s="2"/>
      <c r="N54" s="6">
        <f t="shared" si="3"/>
        <v>0</v>
      </c>
      <c r="O54" s="14"/>
      <c r="P54" s="2">
        <f>SUM(OSRRefP22_9x_0)</f>
        <v>1844.79</v>
      </c>
      <c r="Q54" s="2"/>
      <c r="R54" s="6">
        <f t="shared" si="4"/>
        <v>1.4522339991470282E-3</v>
      </c>
      <c r="S54" s="2"/>
      <c r="T54" s="2">
        <f>SUM(OSRRefT22_9x_0)</f>
        <v>1439.55</v>
      </c>
      <c r="U54" s="2"/>
      <c r="V54" s="6">
        <f t="shared" si="5"/>
        <v>0</v>
      </c>
      <c r="W54" s="2"/>
      <c r="X54" s="2">
        <f t="shared" si="6"/>
        <v>405.24</v>
      </c>
      <c r="Y54" s="2"/>
      <c r="Z54" s="6">
        <f t="shared" si="7"/>
        <v>0.28150463686568722</v>
      </c>
    </row>
    <row r="55" spans="1:26" s="69" customFormat="1" ht="15" hidden="1" customHeight="1" outlineLevel="2" x14ac:dyDescent="0.3">
      <c r="A55" s="26"/>
      <c r="B55" s="12" t="str">
        <f>CONCATENATE("          ","6279"," - ","GENERAL EXPENSE")</f>
        <v xml:space="preserve">          6279 - GENERAL EXPENSE</v>
      </c>
      <c r="C55" s="12"/>
      <c r="D55" s="8">
        <v>77.63</v>
      </c>
      <c r="E55" s="3"/>
      <c r="F55" s="7">
        <f t="shared" ref="F55:F77" si="8">IF(D$12=0,0,D55/D$12)</f>
        <v>3.0354073641414731E-4</v>
      </c>
      <c r="G55" s="3"/>
      <c r="H55" s="8"/>
      <c r="I55" s="3"/>
      <c r="J55" s="7">
        <f t="shared" ref="J55:J77" si="9">IF(H$12=0,0,H55/H$12)</f>
        <v>0</v>
      </c>
      <c r="K55" s="3"/>
      <c r="L55" s="8">
        <f t="shared" ref="L55:L77" si="10">+D55-H55</f>
        <v>77.63</v>
      </c>
      <c r="M55" s="3"/>
      <c r="N55" s="7">
        <f t="shared" ref="N55:N77" si="11">IF(H55=0,0,L55/H55)</f>
        <v>0</v>
      </c>
      <c r="O55" s="12"/>
      <c r="P55" s="8">
        <v>1844.79</v>
      </c>
      <c r="Q55" s="3"/>
      <c r="R55" s="7">
        <f t="shared" ref="R55:R77" si="12">IF(P$12=0,0,P55/P$12)</f>
        <v>1.4522339991470282E-3</v>
      </c>
      <c r="S55" s="3"/>
      <c r="T55" s="8">
        <v>1439.55</v>
      </c>
      <c r="U55" s="3"/>
      <c r="V55" s="7">
        <f t="shared" ref="V55:V77" si="13">IF(T$12=0,0,T55/T$12)</f>
        <v>0</v>
      </c>
      <c r="W55" s="3"/>
      <c r="X55" s="8">
        <f t="shared" ref="X55:X77" si="14">+P55-T55</f>
        <v>405.24</v>
      </c>
      <c r="Y55" s="3"/>
      <c r="Z55" s="7">
        <f t="shared" ref="Z55:Z77" si="15">IF(T55=0,0,X55/T55)</f>
        <v>0.28150463686568722</v>
      </c>
    </row>
    <row r="56" spans="1:26" s="68" customFormat="1" ht="15" customHeight="1" outlineLevel="1" collapsed="1" x14ac:dyDescent="0.3">
      <c r="A56" s="25"/>
      <c r="B56" s="14" t="str">
        <f>CONCATENATE("     ","Insurance                                         ")</f>
        <v xml:space="preserve">     Insurance                                         </v>
      </c>
      <c r="C56" s="14"/>
      <c r="D56" s="2">
        <f>SUM(OSRRefD22_10x_0)</f>
        <v>5.21</v>
      </c>
      <c r="E56" s="2"/>
      <c r="F56" s="6">
        <f t="shared" si="8"/>
        <v>2.0371599081768746E-5</v>
      </c>
      <c r="G56" s="2"/>
      <c r="H56" s="2">
        <f>SUM(OSRRefH22_10x_0)</f>
        <v>5.9</v>
      </c>
      <c r="I56" s="2"/>
      <c r="J56" s="6">
        <f t="shared" si="9"/>
        <v>0</v>
      </c>
      <c r="K56" s="2"/>
      <c r="L56" s="2">
        <f t="shared" si="10"/>
        <v>-0.69000000000000039</v>
      </c>
      <c r="M56" s="2"/>
      <c r="N56" s="6">
        <f t="shared" si="11"/>
        <v>-0.11694915254237294</v>
      </c>
      <c r="O56" s="14"/>
      <c r="P56" s="2">
        <f>SUM(OSRRefP22_10x_0)</f>
        <v>41.69</v>
      </c>
      <c r="Q56" s="2"/>
      <c r="R56" s="6">
        <f t="shared" si="12"/>
        <v>3.2818714013215384E-5</v>
      </c>
      <c r="S56" s="2"/>
      <c r="T56" s="2">
        <f>SUM(OSRRefT22_10x_0)</f>
        <v>47.2</v>
      </c>
      <c r="U56" s="2"/>
      <c r="V56" s="6">
        <f t="shared" si="13"/>
        <v>0</v>
      </c>
      <c r="W56" s="2"/>
      <c r="X56" s="2">
        <f t="shared" si="14"/>
        <v>-5.5100000000000051</v>
      </c>
      <c r="Y56" s="2"/>
      <c r="Z56" s="6">
        <f t="shared" si="15"/>
        <v>-0.11673728813559332</v>
      </c>
    </row>
    <row r="57" spans="1:26" s="69" customFormat="1" ht="15" hidden="1" customHeight="1" outlineLevel="2" x14ac:dyDescent="0.3">
      <c r="A57" s="26"/>
      <c r="B57" s="12" t="str">
        <f>CONCATENATE("          ","6314"," - ","LIABILITY INSURANCE")</f>
        <v xml:space="preserve">          6314 - LIABILITY INSURANCE</v>
      </c>
      <c r="C57" s="12"/>
      <c r="D57" s="8">
        <v>5.21</v>
      </c>
      <c r="E57" s="3"/>
      <c r="F57" s="7">
        <f t="shared" si="8"/>
        <v>2.0371599081768746E-5</v>
      </c>
      <c r="G57" s="3"/>
      <c r="H57" s="8">
        <v>5.9</v>
      </c>
      <c r="I57" s="3"/>
      <c r="J57" s="7">
        <f t="shared" si="9"/>
        <v>0</v>
      </c>
      <c r="K57" s="3"/>
      <c r="L57" s="8">
        <f t="shared" si="10"/>
        <v>-0.69000000000000039</v>
      </c>
      <c r="M57" s="3"/>
      <c r="N57" s="7">
        <f t="shared" si="11"/>
        <v>-0.11694915254237294</v>
      </c>
      <c r="O57" s="12"/>
      <c r="P57" s="8">
        <v>41.69</v>
      </c>
      <c r="Q57" s="3"/>
      <c r="R57" s="7">
        <f t="shared" si="12"/>
        <v>3.2818714013215384E-5</v>
      </c>
      <c r="S57" s="3"/>
      <c r="T57" s="8">
        <v>47.2</v>
      </c>
      <c r="U57" s="3"/>
      <c r="V57" s="7">
        <f t="shared" si="13"/>
        <v>0</v>
      </c>
      <c r="W57" s="3"/>
      <c r="X57" s="8">
        <f t="shared" si="14"/>
        <v>-5.5100000000000051</v>
      </c>
      <c r="Y57" s="3"/>
      <c r="Z57" s="7">
        <f t="shared" si="15"/>
        <v>-0.11673728813559332</v>
      </c>
    </row>
    <row r="58" spans="1:26" s="68" customFormat="1" ht="15" customHeight="1" outlineLevel="1" collapsed="1" x14ac:dyDescent="0.3">
      <c r="A58" s="25"/>
      <c r="B58" s="14" t="str">
        <f>CONCATENATE("     ","R/H Commissions                                   ")</f>
        <v xml:space="preserve">     R/H Commissions                                   </v>
      </c>
      <c r="C58" s="14"/>
      <c r="D58" s="2">
        <f>SUM(OSRRefD22_11x_0)</f>
        <v>20286.37</v>
      </c>
      <c r="E58" s="2"/>
      <c r="F58" s="6">
        <f t="shared" si="8"/>
        <v>7.9321649993171012E-2</v>
      </c>
      <c r="G58" s="2"/>
      <c r="H58" s="2">
        <f>SUM(OSRRefH22_11x_0)</f>
        <v>0</v>
      </c>
      <c r="I58" s="2"/>
      <c r="J58" s="6">
        <f t="shared" si="9"/>
        <v>0</v>
      </c>
      <c r="K58" s="2"/>
      <c r="L58" s="2">
        <f t="shared" si="10"/>
        <v>20286.37</v>
      </c>
      <c r="M58" s="2"/>
      <c r="N58" s="6">
        <f t="shared" si="11"/>
        <v>0</v>
      </c>
      <c r="O58" s="14"/>
      <c r="P58" s="2">
        <f>SUM(OSRRefP22_11x_0)</f>
        <v>97251.65</v>
      </c>
      <c r="Q58" s="2"/>
      <c r="R58" s="6">
        <f t="shared" si="12"/>
        <v>7.6557306036539166E-2</v>
      </c>
      <c r="S58" s="2"/>
      <c r="T58" s="2">
        <f>SUM(OSRRefT22_11x_0)</f>
        <v>0</v>
      </c>
      <c r="U58" s="2"/>
      <c r="V58" s="6">
        <f t="shared" si="13"/>
        <v>0</v>
      </c>
      <c r="W58" s="2"/>
      <c r="X58" s="2">
        <f t="shared" si="14"/>
        <v>97251.65</v>
      </c>
      <c r="Y58" s="2"/>
      <c r="Z58" s="6">
        <f t="shared" si="15"/>
        <v>0</v>
      </c>
    </row>
    <row r="59" spans="1:26" s="69" customFormat="1" ht="15" hidden="1" customHeight="1" outlineLevel="2" x14ac:dyDescent="0.3">
      <c r="A59" s="26"/>
      <c r="B59" s="12" t="str">
        <f>CONCATENATE("          ","6387"," - ","COMMISSION DUE HOUSING")</f>
        <v xml:space="preserve">          6387 - COMMISSION DUE HOUSING</v>
      </c>
      <c r="C59" s="12"/>
      <c r="D59" s="8">
        <v>20286.37</v>
      </c>
      <c r="E59" s="3"/>
      <c r="F59" s="7">
        <f t="shared" si="8"/>
        <v>7.9321649993171012E-2</v>
      </c>
      <c r="G59" s="3"/>
      <c r="H59" s="8"/>
      <c r="I59" s="3"/>
      <c r="J59" s="7">
        <f t="shared" si="9"/>
        <v>0</v>
      </c>
      <c r="K59" s="3"/>
      <c r="L59" s="8">
        <f t="shared" si="10"/>
        <v>20286.37</v>
      </c>
      <c r="M59" s="3"/>
      <c r="N59" s="7">
        <f t="shared" si="11"/>
        <v>0</v>
      </c>
      <c r="O59" s="12"/>
      <c r="P59" s="8">
        <v>97251.65</v>
      </c>
      <c r="Q59" s="3"/>
      <c r="R59" s="7">
        <f t="shared" si="12"/>
        <v>7.6557306036539166E-2</v>
      </c>
      <c r="S59" s="3"/>
      <c r="T59" s="8"/>
      <c r="U59" s="3"/>
      <c r="V59" s="7">
        <f t="shared" si="13"/>
        <v>0</v>
      </c>
      <c r="W59" s="3"/>
      <c r="X59" s="8">
        <f t="shared" si="14"/>
        <v>97251.65</v>
      </c>
      <c r="Y59" s="3"/>
      <c r="Z59" s="7">
        <f t="shared" si="15"/>
        <v>0</v>
      </c>
    </row>
    <row r="60" spans="1:26" s="68" customFormat="1" ht="15" customHeight="1" outlineLevel="1" collapsed="1" x14ac:dyDescent="0.3">
      <c r="A60" s="25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SUM(OSRRefD22_12x_0)</f>
        <v>299.05</v>
      </c>
      <c r="E60" s="2"/>
      <c r="F60" s="6">
        <f t="shared" si="8"/>
        <v>1.1693141469103537E-3</v>
      </c>
      <c r="G60" s="2"/>
      <c r="H60" s="2">
        <f>SUM(OSRRefH22_12x_0)</f>
        <v>0</v>
      </c>
      <c r="I60" s="2"/>
      <c r="J60" s="6">
        <f t="shared" si="9"/>
        <v>0</v>
      </c>
      <c r="K60" s="2"/>
      <c r="L60" s="2">
        <f t="shared" si="10"/>
        <v>299.05</v>
      </c>
      <c r="M60" s="2"/>
      <c r="N60" s="6">
        <f t="shared" si="11"/>
        <v>0</v>
      </c>
      <c r="O60" s="14"/>
      <c r="P60" s="2">
        <f>SUM(OSRRefP22_12x_0)</f>
        <v>1135.81</v>
      </c>
      <c r="Q60" s="2"/>
      <c r="R60" s="6">
        <f t="shared" si="12"/>
        <v>8.9411905884744934E-4</v>
      </c>
      <c r="S60" s="2"/>
      <c r="T60" s="2">
        <f>SUM(OSRRefT22_12x_0)</f>
        <v>144.66999999999999</v>
      </c>
      <c r="U60" s="2"/>
      <c r="V60" s="6">
        <f t="shared" si="13"/>
        <v>0</v>
      </c>
      <c r="W60" s="2"/>
      <c r="X60" s="2">
        <f t="shared" si="14"/>
        <v>991.14</v>
      </c>
      <c r="Y60" s="2"/>
      <c r="Z60" s="6">
        <f t="shared" si="15"/>
        <v>6.8510402986106316</v>
      </c>
    </row>
    <row r="61" spans="1:26" s="69" customFormat="1" ht="15" hidden="1" customHeight="1" outlineLevel="2" x14ac:dyDescent="0.3">
      <c r="A61" s="26"/>
      <c r="B61" s="12" t="str">
        <f>CONCATENATE("          ","6373"," - ","MAINTENANCE CONTRACTS")</f>
        <v xml:space="preserve">          6373 - MAINTENANCE CONTRACTS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146.76</v>
      </c>
      <c r="Q61" s="3"/>
      <c r="R61" s="7">
        <f t="shared" si="12"/>
        <v>1.1553069005947445E-4</v>
      </c>
      <c r="S61" s="3"/>
      <c r="T61" s="8">
        <v>144.66999999999999</v>
      </c>
      <c r="U61" s="3"/>
      <c r="V61" s="7">
        <f t="shared" si="13"/>
        <v>0</v>
      </c>
      <c r="W61" s="3"/>
      <c r="X61" s="8">
        <f t="shared" si="14"/>
        <v>2.0900000000000034</v>
      </c>
      <c r="Y61" s="3"/>
      <c r="Z61" s="7">
        <f t="shared" si="15"/>
        <v>1.4446671735674318E-2</v>
      </c>
    </row>
    <row r="62" spans="1:26" s="69" customFormat="1" ht="15" hidden="1" customHeight="1" outlineLevel="2" x14ac:dyDescent="0.3">
      <c r="A62" s="26"/>
      <c r="B62" s="12" t="str">
        <f>CONCATENATE("          ","6375"," - ","OUTSIDE REPAIRS &amp; MAINTENANCE")</f>
        <v xml:space="preserve">          6375 - OUTSIDE REPAIRS &amp; MAINTENANCE</v>
      </c>
      <c r="C62" s="12"/>
      <c r="D62" s="8">
        <v>299.05</v>
      </c>
      <c r="E62" s="3"/>
      <c r="F62" s="7">
        <f t="shared" si="8"/>
        <v>1.1693141469103537E-3</v>
      </c>
      <c r="G62" s="3"/>
      <c r="H62" s="8"/>
      <c r="I62" s="3"/>
      <c r="J62" s="7">
        <f t="shared" si="9"/>
        <v>0</v>
      </c>
      <c r="K62" s="3"/>
      <c r="L62" s="8">
        <f t="shared" si="10"/>
        <v>299.05</v>
      </c>
      <c r="M62" s="3"/>
      <c r="N62" s="7">
        <f t="shared" si="11"/>
        <v>0</v>
      </c>
      <c r="O62" s="12"/>
      <c r="P62" s="8">
        <v>989.05</v>
      </c>
      <c r="Q62" s="3"/>
      <c r="R62" s="7">
        <f t="shared" si="12"/>
        <v>7.7858836878797486E-4</v>
      </c>
      <c r="S62" s="3"/>
      <c r="T62" s="8"/>
      <c r="U62" s="3"/>
      <c r="V62" s="7">
        <f t="shared" si="13"/>
        <v>0</v>
      </c>
      <c r="W62" s="3"/>
      <c r="X62" s="8">
        <f t="shared" si="14"/>
        <v>989.05</v>
      </c>
      <c r="Y62" s="3"/>
      <c r="Z62" s="7">
        <f t="shared" si="15"/>
        <v>0</v>
      </c>
    </row>
    <row r="63" spans="1:26" s="68" customFormat="1" ht="15" customHeight="1" outlineLevel="1" collapsed="1" x14ac:dyDescent="0.3">
      <c r="A63" s="25"/>
      <c r="B63" s="14" t="str">
        <f>CONCATENATE("     ","Services                                          ")</f>
        <v xml:space="preserve">     Services                                          </v>
      </c>
      <c r="C63" s="14"/>
      <c r="D63" s="2">
        <f>SUM(OSRRefD22_13x_0)</f>
        <v>6274.62</v>
      </c>
      <c r="E63" s="2"/>
      <c r="F63" s="6">
        <f t="shared" si="8"/>
        <v>2.4534365264961191E-2</v>
      </c>
      <c r="G63" s="2"/>
      <c r="H63" s="2">
        <f>SUM(OSRRefH22_13x_0)</f>
        <v>0</v>
      </c>
      <c r="I63" s="2"/>
      <c r="J63" s="6">
        <f t="shared" si="9"/>
        <v>0</v>
      </c>
      <c r="K63" s="2"/>
      <c r="L63" s="2">
        <f t="shared" si="10"/>
        <v>6274.62</v>
      </c>
      <c r="M63" s="2"/>
      <c r="N63" s="6">
        <f t="shared" si="11"/>
        <v>0</v>
      </c>
      <c r="O63" s="14"/>
      <c r="P63" s="2">
        <f>SUM(OSRRefP22_13x_0)</f>
        <v>37679.899999999994</v>
      </c>
      <c r="Q63" s="2"/>
      <c r="R63" s="6">
        <f t="shared" si="12"/>
        <v>2.9661930010711303E-2</v>
      </c>
      <c r="S63" s="2"/>
      <c r="T63" s="2">
        <f>SUM(OSRRefT22_13x_0)</f>
        <v>4687.4800000000005</v>
      </c>
      <c r="U63" s="2"/>
      <c r="V63" s="6">
        <f t="shared" si="13"/>
        <v>0</v>
      </c>
      <c r="W63" s="2"/>
      <c r="X63" s="2">
        <f t="shared" si="14"/>
        <v>32992.419999999991</v>
      </c>
      <c r="Y63" s="2"/>
      <c r="Z63" s="6">
        <f t="shared" si="15"/>
        <v>7.0384129638953103</v>
      </c>
    </row>
    <row r="64" spans="1:26" s="69" customFormat="1" ht="15" hidden="1" customHeight="1" outlineLevel="2" x14ac:dyDescent="0.3">
      <c r="A64" s="26"/>
      <c r="B64" s="12" t="str">
        <f>CONCATENATE("          ","6282"," - ","JANITORIAL/EXTERMINATOR EXPENS")</f>
        <v xml:space="preserve">          6282 - JANITORIAL/EXTERMINATOR EXPENS</v>
      </c>
      <c r="C64" s="12"/>
      <c r="D64" s="8">
        <v>1459.7</v>
      </c>
      <c r="E64" s="3"/>
      <c r="F64" s="7">
        <f t="shared" si="8"/>
        <v>5.7075668291089897E-3</v>
      </c>
      <c r="G64" s="3"/>
      <c r="H64" s="8"/>
      <c r="I64" s="3"/>
      <c r="J64" s="7">
        <f t="shared" si="9"/>
        <v>0</v>
      </c>
      <c r="K64" s="3"/>
      <c r="L64" s="8">
        <f t="shared" si="10"/>
        <v>1459.7</v>
      </c>
      <c r="M64" s="3"/>
      <c r="N64" s="7">
        <f t="shared" si="11"/>
        <v>0</v>
      </c>
      <c r="O64" s="12"/>
      <c r="P64" s="8">
        <v>5148.3500000000004</v>
      </c>
      <c r="Q64" s="3"/>
      <c r="R64" s="7">
        <f t="shared" si="12"/>
        <v>4.0528238496027212E-3</v>
      </c>
      <c r="S64" s="3"/>
      <c r="T64" s="8">
        <v>4089.61</v>
      </c>
      <c r="U64" s="3"/>
      <c r="V64" s="7">
        <f t="shared" si="13"/>
        <v>0</v>
      </c>
      <c r="W64" s="3"/>
      <c r="X64" s="8">
        <f t="shared" si="14"/>
        <v>1058.7400000000002</v>
      </c>
      <c r="Y64" s="3"/>
      <c r="Z64" s="7">
        <f t="shared" si="15"/>
        <v>0.25888532158323169</v>
      </c>
    </row>
    <row r="65" spans="1:26" s="69" customFormat="1" ht="15" hidden="1" customHeight="1" outlineLevel="2" x14ac:dyDescent="0.3">
      <c r="A65" s="26"/>
      <c r="B65" s="12" t="str">
        <f>CONCATENATE("          ","6285"," - ","JANITORIAL SERVICES")</f>
        <v xml:space="preserve">          6285 - JANITORIAL SERVICES</v>
      </c>
      <c r="C65" s="12"/>
      <c r="D65" s="8">
        <v>4364.3100000000004</v>
      </c>
      <c r="E65" s="3"/>
      <c r="F65" s="7">
        <f t="shared" si="8"/>
        <v>1.7064870170547822E-2</v>
      </c>
      <c r="G65" s="3"/>
      <c r="H65" s="8"/>
      <c r="I65" s="3"/>
      <c r="J65" s="7">
        <f t="shared" si="9"/>
        <v>0</v>
      </c>
      <c r="K65" s="3"/>
      <c r="L65" s="8">
        <f t="shared" si="10"/>
        <v>4364.3100000000004</v>
      </c>
      <c r="M65" s="3"/>
      <c r="N65" s="7">
        <f t="shared" si="11"/>
        <v>0</v>
      </c>
      <c r="O65" s="12"/>
      <c r="P65" s="8">
        <v>25277.1</v>
      </c>
      <c r="Q65" s="3"/>
      <c r="R65" s="7">
        <f t="shared" si="12"/>
        <v>1.9898342911572237E-2</v>
      </c>
      <c r="S65" s="3"/>
      <c r="T65" s="8"/>
      <c r="U65" s="3"/>
      <c r="V65" s="7">
        <f t="shared" si="13"/>
        <v>0</v>
      </c>
      <c r="W65" s="3"/>
      <c r="X65" s="8">
        <f t="shared" si="14"/>
        <v>25277.1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","6286"," - ","LAUNDRY EXPENSE")</f>
        <v xml:space="preserve">          6286 - LAUNDRY EXPENSE</v>
      </c>
      <c r="C66" s="12"/>
      <c r="D66" s="8">
        <v>450.61</v>
      </c>
      <c r="E66" s="3"/>
      <c r="F66" s="7">
        <f t="shared" si="8"/>
        <v>1.761928265304379E-3</v>
      </c>
      <c r="G66" s="3"/>
      <c r="H66" s="8"/>
      <c r="I66" s="3"/>
      <c r="J66" s="7">
        <f t="shared" si="9"/>
        <v>0</v>
      </c>
      <c r="K66" s="3"/>
      <c r="L66" s="8">
        <f t="shared" si="10"/>
        <v>450.61</v>
      </c>
      <c r="M66" s="3"/>
      <c r="N66" s="7">
        <f t="shared" si="11"/>
        <v>0</v>
      </c>
      <c r="O66" s="12"/>
      <c r="P66" s="8">
        <v>7254.45</v>
      </c>
      <c r="Q66" s="3"/>
      <c r="R66" s="7">
        <f t="shared" si="12"/>
        <v>5.710763249536348E-3</v>
      </c>
      <c r="S66" s="3"/>
      <c r="T66" s="8">
        <v>597.87</v>
      </c>
      <c r="U66" s="3"/>
      <c r="V66" s="7">
        <f t="shared" si="13"/>
        <v>0</v>
      </c>
      <c r="W66" s="3"/>
      <c r="X66" s="8">
        <f t="shared" si="14"/>
        <v>6656.58</v>
      </c>
      <c r="Y66" s="3"/>
      <c r="Z66" s="7">
        <f t="shared" si="15"/>
        <v>11.133825079030558</v>
      </c>
    </row>
    <row r="67" spans="1:26" s="68" customFormat="1" ht="15" customHeight="1" outlineLevel="1" collapsed="1" x14ac:dyDescent="0.3">
      <c r="A67" s="25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SUM(OSRRefD22_14x_0)</f>
        <v>9001.59</v>
      </c>
      <c r="E67" s="2"/>
      <c r="F67" s="6">
        <f t="shared" si="8"/>
        <v>3.5197079189723361E-2</v>
      </c>
      <c r="G67" s="2"/>
      <c r="H67" s="2">
        <f>SUM(OSRRefH22_14x_0)</f>
        <v>0</v>
      </c>
      <c r="I67" s="2"/>
      <c r="J67" s="6">
        <f t="shared" si="9"/>
        <v>0</v>
      </c>
      <c r="K67" s="2"/>
      <c r="L67" s="2">
        <f t="shared" si="10"/>
        <v>9001.59</v>
      </c>
      <c r="M67" s="2"/>
      <c r="N67" s="6">
        <f t="shared" si="11"/>
        <v>0</v>
      </c>
      <c r="O67" s="14"/>
      <c r="P67" s="2">
        <f>SUM(OSRRefP22_14x_0)</f>
        <v>69406.499999999985</v>
      </c>
      <c r="Q67" s="2"/>
      <c r="R67" s="6">
        <f t="shared" si="12"/>
        <v>5.463737285100103E-2</v>
      </c>
      <c r="S67" s="2"/>
      <c r="T67" s="2">
        <f>SUM(OSRRefT22_14x_0)</f>
        <v>57.16</v>
      </c>
      <c r="U67" s="2"/>
      <c r="V67" s="6">
        <f t="shared" si="13"/>
        <v>0</v>
      </c>
      <c r="W67" s="2"/>
      <c r="X67" s="2">
        <f t="shared" si="14"/>
        <v>69349.339999999982</v>
      </c>
      <c r="Y67" s="2"/>
      <c r="Z67" s="6">
        <f t="shared" si="15"/>
        <v>1213.2494751574525</v>
      </c>
    </row>
    <row r="68" spans="1:26" s="69" customFormat="1" ht="15" hidden="1" customHeight="1" outlineLevel="2" x14ac:dyDescent="0.3">
      <c r="A68" s="26"/>
      <c r="B68" s="12" t="str">
        <f>CONCATENATE("          ","6237"," - ","JANITORIAL SUPPLIES")</f>
        <v xml:space="preserve">          6237 - JANITORIAL SUPPLIES</v>
      </c>
      <c r="C68" s="12"/>
      <c r="D68" s="8">
        <v>5914.27</v>
      </c>
      <c r="E68" s="3"/>
      <c r="F68" s="7">
        <f t="shared" si="8"/>
        <v>2.3125362245937128E-2</v>
      </c>
      <c r="G68" s="3"/>
      <c r="H68" s="8"/>
      <c r="I68" s="3"/>
      <c r="J68" s="7">
        <f t="shared" si="9"/>
        <v>0</v>
      </c>
      <c r="K68" s="3"/>
      <c r="L68" s="8">
        <f t="shared" si="10"/>
        <v>5914.27</v>
      </c>
      <c r="M68" s="3"/>
      <c r="N68" s="7">
        <f t="shared" si="11"/>
        <v>0</v>
      </c>
      <c r="O68" s="12"/>
      <c r="P68" s="8">
        <v>14737.15</v>
      </c>
      <c r="Q68" s="3"/>
      <c r="R68" s="7">
        <f t="shared" si="12"/>
        <v>1.1601206793472225E-2</v>
      </c>
      <c r="S68" s="3"/>
      <c r="T68" s="8"/>
      <c r="U68" s="3"/>
      <c r="V68" s="7">
        <f t="shared" si="13"/>
        <v>0</v>
      </c>
      <c r="W68" s="3"/>
      <c r="X68" s="8">
        <f t="shared" si="14"/>
        <v>14737.15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6"/>
      <c r="B69" s="12" t="str">
        <f>CONCATENATE("          ","6239"," - ","KITCHEN SUPPLIES")</f>
        <v xml:space="preserve">          6239 - KITCHEN SUPPLIES</v>
      </c>
      <c r="C69" s="12"/>
      <c r="D69" s="8">
        <v>923.13</v>
      </c>
      <c r="E69" s="3"/>
      <c r="F69" s="7">
        <f t="shared" si="8"/>
        <v>3.6095267294343918E-3</v>
      </c>
      <c r="G69" s="3"/>
      <c r="H69" s="8"/>
      <c r="I69" s="3"/>
      <c r="J69" s="7">
        <f t="shared" si="9"/>
        <v>0</v>
      </c>
      <c r="K69" s="3"/>
      <c r="L69" s="8">
        <f t="shared" si="10"/>
        <v>923.13</v>
      </c>
      <c r="M69" s="3"/>
      <c r="N69" s="7">
        <f t="shared" si="11"/>
        <v>0</v>
      </c>
      <c r="O69" s="12"/>
      <c r="P69" s="8">
        <v>10019.879999999999</v>
      </c>
      <c r="Q69" s="3"/>
      <c r="R69" s="7">
        <f t="shared" si="12"/>
        <v>7.8877326976909707E-3</v>
      </c>
      <c r="S69" s="3"/>
      <c r="T69" s="8"/>
      <c r="U69" s="3"/>
      <c r="V69" s="7">
        <f t="shared" si="13"/>
        <v>0</v>
      </c>
      <c r="W69" s="3"/>
      <c r="X69" s="8">
        <f t="shared" si="14"/>
        <v>10019.879999999999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6"/>
      <c r="B70" s="12" t="str">
        <f>CONCATENATE("          ","6241"," - ","OFFICE EXPENSE")</f>
        <v xml:space="preserve">          6241 - OFFICE EXPENSE</v>
      </c>
      <c r="C70" s="12"/>
      <c r="D70" s="8">
        <v>1250.92</v>
      </c>
      <c r="E70" s="3"/>
      <c r="F70" s="7">
        <f t="shared" si="8"/>
        <v>4.8912170294368833E-3</v>
      </c>
      <c r="G70" s="3"/>
      <c r="H70" s="8"/>
      <c r="I70" s="3"/>
      <c r="J70" s="7">
        <f t="shared" si="9"/>
        <v>0</v>
      </c>
      <c r="K70" s="3"/>
      <c r="L70" s="8">
        <f t="shared" si="10"/>
        <v>1250.92</v>
      </c>
      <c r="M70" s="3"/>
      <c r="N70" s="7">
        <f t="shared" si="11"/>
        <v>0</v>
      </c>
      <c r="O70" s="12"/>
      <c r="P70" s="8">
        <v>6184.64</v>
      </c>
      <c r="Q70" s="3"/>
      <c r="R70" s="7">
        <f t="shared" si="12"/>
        <v>4.8685999384670761E-3</v>
      </c>
      <c r="S70" s="3"/>
      <c r="T70" s="8">
        <v>57.16</v>
      </c>
      <c r="U70" s="3"/>
      <c r="V70" s="7">
        <f t="shared" si="13"/>
        <v>0</v>
      </c>
      <c r="W70" s="3"/>
      <c r="X70" s="8">
        <f t="shared" si="14"/>
        <v>6127.4800000000005</v>
      </c>
      <c r="Y70" s="3"/>
      <c r="Z70" s="7">
        <f t="shared" si="15"/>
        <v>107.19874037788665</v>
      </c>
    </row>
    <row r="71" spans="1:26" s="69" customFormat="1" ht="15" hidden="1" customHeight="1" outlineLevel="2" x14ac:dyDescent="0.3">
      <c r="A71" s="26"/>
      <c r="B71" s="12" t="str">
        <f>CONCATENATE("          ","6243"," - ","PAPER SUPPLIES")</f>
        <v xml:space="preserve">          6243 - PAPER SUPPLIES</v>
      </c>
      <c r="C71" s="12"/>
      <c r="D71" s="8">
        <v>913.27</v>
      </c>
      <c r="E71" s="3"/>
      <c r="F71" s="7">
        <f t="shared" si="8"/>
        <v>3.5709731849149599E-3</v>
      </c>
      <c r="G71" s="3"/>
      <c r="H71" s="8"/>
      <c r="I71" s="3"/>
      <c r="J71" s="7">
        <f t="shared" si="9"/>
        <v>0</v>
      </c>
      <c r="K71" s="3"/>
      <c r="L71" s="8">
        <f t="shared" si="10"/>
        <v>913.27</v>
      </c>
      <c r="M71" s="3"/>
      <c r="N71" s="7">
        <f t="shared" si="11"/>
        <v>0</v>
      </c>
      <c r="O71" s="12"/>
      <c r="P71" s="8">
        <v>35941.79</v>
      </c>
      <c r="Q71" s="3"/>
      <c r="R71" s="7">
        <f t="shared" si="12"/>
        <v>2.8293675392973006E-2</v>
      </c>
      <c r="S71" s="3"/>
      <c r="T71" s="8"/>
      <c r="U71" s="3"/>
      <c r="V71" s="7">
        <f t="shared" si="13"/>
        <v>0</v>
      </c>
      <c r="W71" s="3"/>
      <c r="X71" s="8">
        <f t="shared" si="14"/>
        <v>35941.79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652.62</v>
      </c>
      <c r="Q72" s="3"/>
      <c r="R72" s="7">
        <f t="shared" si="12"/>
        <v>5.1374788053021401E-4</v>
      </c>
      <c r="S72" s="3"/>
      <c r="T72" s="8"/>
      <c r="U72" s="3"/>
      <c r="V72" s="7">
        <f t="shared" si="13"/>
        <v>0</v>
      </c>
      <c r="W72" s="3"/>
      <c r="X72" s="8">
        <f t="shared" si="14"/>
        <v>652.62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6"/>
      <c r="B73" s="12" t="str">
        <f>CONCATENATE("          ","6248"," - ","UNIFORMS")</f>
        <v xml:space="preserve">          6248 - UNIFORMS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1870.42</v>
      </c>
      <c r="Q73" s="3"/>
      <c r="R73" s="7">
        <f t="shared" si="12"/>
        <v>1.4724101478675539E-3</v>
      </c>
      <c r="S73" s="3"/>
      <c r="T73" s="8"/>
      <c r="U73" s="3"/>
      <c r="V73" s="7">
        <f t="shared" si="13"/>
        <v>0</v>
      </c>
      <c r="W73" s="3"/>
      <c r="X73" s="8">
        <f t="shared" si="14"/>
        <v>1870.42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5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SUM(OSRRefD22_15x_0)</f>
        <v>186</v>
      </c>
      <c r="E74" s="2"/>
      <c r="F74" s="6">
        <f t="shared" si="8"/>
        <v>7.2727781750652333E-4</v>
      </c>
      <c r="G74" s="2"/>
      <c r="H74" s="2">
        <f>SUM(OSRRefH22_15x_0)</f>
        <v>0</v>
      </c>
      <c r="I74" s="2"/>
      <c r="J74" s="6">
        <f t="shared" si="9"/>
        <v>0</v>
      </c>
      <c r="K74" s="2"/>
      <c r="L74" s="2">
        <f t="shared" si="10"/>
        <v>186</v>
      </c>
      <c r="M74" s="2"/>
      <c r="N74" s="6">
        <f t="shared" si="11"/>
        <v>0</v>
      </c>
      <c r="O74" s="14"/>
      <c r="P74" s="2">
        <f>SUM(OSRRefP22_15x_0)</f>
        <v>1178.8499999999999</v>
      </c>
      <c r="Q74" s="2"/>
      <c r="R74" s="6">
        <f t="shared" si="12"/>
        <v>9.2800050406521828E-4</v>
      </c>
      <c r="S74" s="2"/>
      <c r="T74" s="2">
        <f>SUM(OSRRefT22_15x_0)</f>
        <v>579.63</v>
      </c>
      <c r="U74" s="2"/>
      <c r="V74" s="6">
        <f t="shared" si="13"/>
        <v>0</v>
      </c>
      <c r="W74" s="2"/>
      <c r="X74" s="2">
        <f t="shared" si="14"/>
        <v>599.21999999999991</v>
      </c>
      <c r="Y74" s="2"/>
      <c r="Z74" s="6">
        <f t="shared" si="15"/>
        <v>1.0337974224936597</v>
      </c>
    </row>
    <row r="75" spans="1:26" s="69" customFormat="1" ht="15" hidden="1" customHeight="1" outlineLevel="2" x14ac:dyDescent="0.3">
      <c r="A75" s="26"/>
      <c r="B75" s="12" t="str">
        <f>CONCATENATE("          ","6309"," - ","TELEPHONE")</f>
        <v xml:space="preserve">          6309 - TELEPHONE</v>
      </c>
      <c r="C75" s="12"/>
      <c r="D75" s="8">
        <v>186</v>
      </c>
      <c r="E75" s="3"/>
      <c r="F75" s="7">
        <f t="shared" si="8"/>
        <v>7.2727781750652333E-4</v>
      </c>
      <c r="G75" s="3"/>
      <c r="H75" s="8">
        <v>0</v>
      </c>
      <c r="I75" s="3"/>
      <c r="J75" s="7">
        <f t="shared" si="9"/>
        <v>0</v>
      </c>
      <c r="K75" s="3"/>
      <c r="L75" s="8">
        <f t="shared" si="10"/>
        <v>186</v>
      </c>
      <c r="M75" s="3"/>
      <c r="N75" s="7">
        <f t="shared" si="11"/>
        <v>0</v>
      </c>
      <c r="O75" s="12"/>
      <c r="P75" s="8">
        <v>1178.8499999999999</v>
      </c>
      <c r="Q75" s="3"/>
      <c r="R75" s="7">
        <f t="shared" si="12"/>
        <v>9.2800050406521828E-4</v>
      </c>
      <c r="S75" s="3"/>
      <c r="T75" s="8">
        <v>579.63</v>
      </c>
      <c r="U75" s="3"/>
      <c r="V75" s="7">
        <f t="shared" si="13"/>
        <v>0</v>
      </c>
      <c r="W75" s="3"/>
      <c r="X75" s="8">
        <f t="shared" si="14"/>
        <v>599.21999999999991</v>
      </c>
      <c r="Y75" s="3"/>
      <c r="Z75" s="7">
        <f t="shared" si="15"/>
        <v>1.0337974224936597</v>
      </c>
    </row>
    <row r="76" spans="1:26" s="68" customFormat="1" ht="15" customHeight="1" outlineLevel="1" collapsed="1" x14ac:dyDescent="0.3">
      <c r="A76" s="25"/>
      <c r="B76" s="14" t="str">
        <f>CONCATENATE("     ","Travel                                            ")</f>
        <v xml:space="preserve">     Travel                                            </v>
      </c>
      <c r="C76" s="14"/>
      <c r="D76" s="2">
        <f>SUM(OSRRefD22_16x_0)</f>
        <v>0</v>
      </c>
      <c r="E76" s="2"/>
      <c r="F76" s="6">
        <f t="shared" si="8"/>
        <v>0</v>
      </c>
      <c r="G76" s="2"/>
      <c r="H76" s="2">
        <f>SUM(OSRRefH22_16x_0)</f>
        <v>0</v>
      </c>
      <c r="I76" s="2"/>
      <c r="J76" s="6">
        <f t="shared" si="9"/>
        <v>0</v>
      </c>
      <c r="K76" s="2"/>
      <c r="L76" s="2">
        <f t="shared" si="10"/>
        <v>0</v>
      </c>
      <c r="M76" s="2"/>
      <c r="N76" s="6">
        <f t="shared" si="11"/>
        <v>0</v>
      </c>
      <c r="O76" s="14"/>
      <c r="P76" s="2">
        <f>SUM(OSRRefP22_16x_0)</f>
        <v>104.02</v>
      </c>
      <c r="Q76" s="2"/>
      <c r="R76" s="6">
        <f t="shared" si="12"/>
        <v>8.1885407331606236E-5</v>
      </c>
      <c r="S76" s="2"/>
      <c r="T76" s="2">
        <f>SUM(OSRRefT22_16x_0)</f>
        <v>0</v>
      </c>
      <c r="U76" s="2"/>
      <c r="V76" s="6">
        <f t="shared" si="13"/>
        <v>0</v>
      </c>
      <c r="W76" s="2"/>
      <c r="X76" s="2">
        <f t="shared" si="14"/>
        <v>104.02</v>
      </c>
      <c r="Y76" s="2"/>
      <c r="Z76" s="6">
        <f t="shared" si="15"/>
        <v>0</v>
      </c>
    </row>
    <row r="77" spans="1:26" s="69" customFormat="1" ht="15" hidden="1" customHeight="1" outlineLevel="2" x14ac:dyDescent="0.3">
      <c r="A77" s="26"/>
      <c r="B77" s="12" t="str">
        <f>CONCATENATE("          ","6298"," - ","VEHICLE MILEAGE")</f>
        <v xml:space="preserve">          6298 - VEHICLE MILEAGE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104.02</v>
      </c>
      <c r="Q77" s="3"/>
      <c r="R77" s="7">
        <f t="shared" si="12"/>
        <v>8.1885407331606236E-5</v>
      </c>
      <c r="S77" s="3"/>
      <c r="T77" s="8"/>
      <c r="U77" s="3"/>
      <c r="V77" s="7">
        <f t="shared" si="13"/>
        <v>0</v>
      </c>
      <c r="W77" s="3"/>
      <c r="X77" s="8">
        <f t="shared" si="14"/>
        <v>104.02</v>
      </c>
      <c r="Y77" s="3"/>
      <c r="Z77" s="7">
        <f t="shared" si="15"/>
        <v>0</v>
      </c>
    </row>
    <row r="78" spans="1:26" s="64" customFormat="1" ht="15" customHeight="1" x14ac:dyDescent="0.3">
      <c r="A78" s="36"/>
      <c r="B78" s="36"/>
      <c r="C78" s="36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3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62" customFormat="1" ht="15" customHeight="1" x14ac:dyDescent="0.3">
      <c r="A79" s="11"/>
      <c r="B79" s="27" t="s">
        <v>290</v>
      </c>
      <c r="C79" s="11"/>
      <c r="D79" s="5">
        <f>SUM(0)</f>
        <v>0</v>
      </c>
      <c r="E79" s="5"/>
      <c r="F79" s="13">
        <f>IF(D$12=0,0,D79/D$12)</f>
        <v>0</v>
      </c>
      <c r="G79" s="5"/>
      <c r="H79" s="5">
        <f>SUM(0)</f>
        <v>0</v>
      </c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>
        <f>SUM(0)</f>
        <v>0</v>
      </c>
      <c r="Q79" s="5"/>
      <c r="R79" s="13">
        <f>IF(P$12=0,0,P79/P$12)</f>
        <v>0</v>
      </c>
      <c r="S79" s="5"/>
      <c r="T79" s="5">
        <f>SUM(0)</f>
        <v>0</v>
      </c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8" t="s">
        <v>291</v>
      </c>
      <c r="C81" s="28"/>
      <c r="D81" s="23">
        <f>+D21-D23+D79</f>
        <v>71241.239999999991</v>
      </c>
      <c r="E81" s="15"/>
      <c r="F81" s="22">
        <f>IF(D$12=0,0,D81/D$12)</f>
        <v>0.27856007281536788</v>
      </c>
      <c r="G81" s="15"/>
      <c r="H81" s="23">
        <f>+H21-H23+H79</f>
        <v>-37497.520000000004</v>
      </c>
      <c r="I81" s="15"/>
      <c r="J81" s="22">
        <f>IF(H$12=0,0,H81/H$12)</f>
        <v>0</v>
      </c>
      <c r="K81" s="17"/>
      <c r="L81" s="23">
        <f>+D81-H81</f>
        <v>108738.76</v>
      </c>
      <c r="M81" s="17"/>
      <c r="N81" s="22">
        <f>IF(H81=0,0,L81/H81)</f>
        <v>-2.8998920461939877</v>
      </c>
      <c r="O81" s="27"/>
      <c r="P81" s="23">
        <f>+P21-P23+P79</f>
        <v>77488.840000000084</v>
      </c>
      <c r="Q81" s="15"/>
      <c r="R81" s="22">
        <f>IF(P$12=0,0,P81/P$12)</f>
        <v>6.0999857979750723E-2</v>
      </c>
      <c r="S81" s="15"/>
      <c r="T81" s="23">
        <f>+T21-T23+T79</f>
        <v>-327584.5199999999</v>
      </c>
      <c r="U81" s="15"/>
      <c r="V81" s="22">
        <f>IF(T$12=0,0,T81/T$12)</f>
        <v>0</v>
      </c>
      <c r="W81" s="17"/>
      <c r="X81" s="23">
        <f>+P81-T81</f>
        <v>405073.36</v>
      </c>
      <c r="Y81" s="17"/>
      <c r="Z81" s="22">
        <f>IF(T81=0,0,X81/T81)</f>
        <v>-1.2365460980879075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48"/>
      <c r="B83" s="11" t="s">
        <v>292</v>
      </c>
      <c r="C83" s="11"/>
      <c r="D83" s="5">
        <v>24268.6</v>
      </c>
      <c r="E83" s="5"/>
      <c r="F83" s="13">
        <f>IF(D$12=0,0,D83/D$12)</f>
        <v>9.4892550763111885E-2</v>
      </c>
      <c r="G83" s="5"/>
      <c r="H83" s="5"/>
      <c r="I83" s="5"/>
      <c r="J83" s="13">
        <f>IF(H$12=0,0,H83/H$12)</f>
        <v>0</v>
      </c>
      <c r="K83" s="5"/>
      <c r="L83" s="5">
        <f>+D83-H83</f>
        <v>24268.6</v>
      </c>
      <c r="M83" s="5"/>
      <c r="N83" s="13">
        <f>IF(H83=0,0,L83/H83)</f>
        <v>0</v>
      </c>
      <c r="O83" s="11"/>
      <c r="P83" s="5">
        <v>158563.74</v>
      </c>
      <c r="Q83" s="5"/>
      <c r="R83" s="13">
        <f>IF(P$12=0,0,P83/P$12)</f>
        <v>0.12482269215461358</v>
      </c>
      <c r="S83" s="5"/>
      <c r="T83" s="5">
        <v>0</v>
      </c>
      <c r="U83" s="5"/>
      <c r="V83" s="13">
        <f>IF(T$12=0,0,T83/T$12)</f>
        <v>0</v>
      </c>
      <c r="W83" s="5"/>
      <c r="X83" s="5">
        <f>+P83-T83</f>
        <v>158563.74</v>
      </c>
      <c r="Y83" s="5"/>
      <c r="Z83" s="13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8" t="s">
        <v>293</v>
      </c>
      <c r="C85" s="28"/>
      <c r="D85" s="33">
        <f>+D81-D83</f>
        <v>46972.639999999992</v>
      </c>
      <c r="E85" s="15"/>
      <c r="F85" s="34">
        <f>IF(D$12=0,0,D85/D$12)</f>
        <v>0.18366752205225598</v>
      </c>
      <c r="G85" s="15"/>
      <c r="H85" s="33">
        <f>+H81-H83</f>
        <v>-37497.520000000004</v>
      </c>
      <c r="I85" s="15"/>
      <c r="J85" s="34">
        <f>IF(H$12=0,0,H85/H$12)</f>
        <v>0</v>
      </c>
      <c r="K85" s="17"/>
      <c r="L85" s="33">
        <f>D85-H85</f>
        <v>84470.16</v>
      </c>
      <c r="M85" s="17"/>
      <c r="N85" s="34">
        <f>IF(H85=0,0,L85/H85)</f>
        <v>-2.2526865776723364</v>
      </c>
      <c r="O85" s="27"/>
      <c r="P85" s="33">
        <f>+P81-P83</f>
        <v>-81074.899999999907</v>
      </c>
      <c r="Q85" s="15"/>
      <c r="R85" s="34">
        <f>IF(P$12=0,0,P85/P$12)</f>
        <v>-6.3822834174862869E-2</v>
      </c>
      <c r="S85" s="15"/>
      <c r="T85" s="33">
        <f>+T81-T83</f>
        <v>-327584.5199999999</v>
      </c>
      <c r="U85" s="15"/>
      <c r="V85" s="34">
        <f>IF(T$12=0,0,T85/T$12)</f>
        <v>0</v>
      </c>
      <c r="W85" s="17"/>
      <c r="X85" s="33">
        <f>P85-T85</f>
        <v>246509.62</v>
      </c>
      <c r="Y85" s="17"/>
      <c r="Z85" s="34">
        <f>IF(T85=0,0,X85/T85)</f>
        <v>-0.75250692554092624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8" t="s">
        <v>296</v>
      </c>
      <c r="C88" s="28"/>
      <c r="D88" s="35">
        <f>SUM(D85:D87)</f>
        <v>46972.639999999992</v>
      </c>
      <c r="E88" s="15"/>
      <c r="F88" s="29">
        <f>IF(D$12=0,0,D88/D$12)</f>
        <v>0.18366752205225598</v>
      </c>
      <c r="G88" s="15"/>
      <c r="H88" s="35">
        <f>SUM(H85:H87)</f>
        <v>-37497.520000000004</v>
      </c>
      <c r="I88" s="15"/>
      <c r="J88" s="29">
        <f>IF(H$12=0,0,H88/H$12)</f>
        <v>0</v>
      </c>
      <c r="K88" s="17"/>
      <c r="L88" s="35">
        <f>+D88-H88</f>
        <v>84470.16</v>
      </c>
      <c r="M88" s="17"/>
      <c r="N88" s="29">
        <f>IF(H88=0,0,L88/H88)</f>
        <v>-2.2526865776723364</v>
      </c>
      <c r="O88" s="27"/>
      <c r="P88" s="35">
        <f>SUM(P85:P87)</f>
        <v>-81074.899999999907</v>
      </c>
      <c r="Q88" s="15"/>
      <c r="R88" s="29">
        <f>IF(P$12=0,0,P88/P$12)</f>
        <v>-6.3822834174862869E-2</v>
      </c>
      <c r="S88" s="15"/>
      <c r="T88" s="35">
        <f>SUM(T85:T87)</f>
        <v>-327584.5199999999</v>
      </c>
      <c r="U88" s="15"/>
      <c r="V88" s="29">
        <f>IF(T$12=0,0,T88/T$12)</f>
        <v>0</v>
      </c>
      <c r="W88" s="17"/>
      <c r="X88" s="35">
        <f>+P88-T88</f>
        <v>246509.62</v>
      </c>
      <c r="Y88" s="17"/>
      <c r="Z88" s="29">
        <f>IF(T88=0,0,X88/T88)</f>
        <v>-0.75250692554092624</v>
      </c>
    </row>
    <row r="89" spans="1:26" ht="15" customHeight="1" x14ac:dyDescent="0.3">
      <c r="A89" s="10"/>
      <c r="C89" s="10"/>
      <c r="D89" s="18"/>
      <c r="E89" s="18"/>
      <c r="G89" s="18"/>
      <c r="H89" s="18"/>
      <c r="I89" s="18"/>
      <c r="J89" s="41"/>
      <c r="K89" s="18"/>
      <c r="L89" s="18"/>
      <c r="M89" s="18"/>
      <c r="P89" s="18"/>
      <c r="Q89" s="18"/>
      <c r="R89" s="41"/>
      <c r="S89" s="18"/>
      <c r="T89" s="18"/>
      <c r="U89" s="18"/>
      <c r="V89" s="41"/>
      <c r="W89" s="18"/>
      <c r="X89" s="18"/>
    </row>
    <row r="90" spans="1:26" ht="15" customHeight="1" x14ac:dyDescent="0.3">
      <c r="A90" s="10"/>
      <c r="B90" s="50">
        <v>44634.887810300927</v>
      </c>
      <c r="D90" s="18"/>
      <c r="E90" s="18"/>
      <c r="G90" s="18"/>
      <c r="H90" s="18"/>
      <c r="I90" s="18"/>
      <c r="J90" s="41"/>
      <c r="K90" s="18"/>
      <c r="L90" s="18"/>
      <c r="M90" s="18"/>
      <c r="P90" s="18"/>
      <c r="Q90" s="18"/>
      <c r="R90" s="41"/>
      <c r="S90" s="18"/>
      <c r="T90" s="18"/>
      <c r="U90" s="18"/>
      <c r="V90" s="41"/>
      <c r="W90" s="18"/>
      <c r="X90" s="18"/>
    </row>
    <row r="91" spans="1:26" ht="15" customHeight="1" x14ac:dyDescent="0.3">
      <c r="A91" s="10"/>
      <c r="B91" s="58" t="s">
        <v>297</v>
      </c>
      <c r="D91" s="18"/>
      <c r="E91" s="18"/>
      <c r="G91" s="18"/>
      <c r="H91" s="18"/>
      <c r="I91" s="18"/>
      <c r="J91" s="41"/>
      <c r="K91" s="18"/>
      <c r="L91" s="18"/>
      <c r="M91" s="18"/>
      <c r="P91" s="18"/>
      <c r="Q91" s="18"/>
      <c r="R91" s="41"/>
      <c r="S91" s="18"/>
      <c r="T91" s="18"/>
      <c r="U91" s="18"/>
      <c r="V91" s="41"/>
      <c r="W91" s="18"/>
      <c r="X91" s="18"/>
    </row>
    <row r="92" spans="1:26" ht="15" customHeight="1" x14ac:dyDescent="0.3">
      <c r="A92" s="10"/>
      <c r="B92" s="56"/>
      <c r="D92" s="18"/>
      <c r="E92" s="18"/>
      <c r="G92" s="18"/>
      <c r="H92" s="18"/>
      <c r="I92" s="18"/>
      <c r="J92" s="41"/>
      <c r="K92" s="18"/>
      <c r="L92" s="18"/>
      <c r="M92" s="18"/>
      <c r="P92" s="18"/>
      <c r="Q92" s="18"/>
      <c r="R92" s="41"/>
      <c r="S92" s="18"/>
      <c r="T92" s="18"/>
      <c r="U92" s="18"/>
      <c r="V92" s="41"/>
      <c r="W92" s="18"/>
      <c r="X92" s="18"/>
    </row>
    <row r="93" spans="1:26" ht="15" customHeight="1" x14ac:dyDescent="0.3">
      <c r="D93" s="18"/>
      <c r="E93" s="18"/>
      <c r="G93" s="18"/>
      <c r="H93" s="18"/>
      <c r="I93" s="18"/>
      <c r="J93" s="41"/>
      <c r="K93" s="18"/>
      <c r="L93" s="18"/>
      <c r="M93" s="18"/>
      <c r="P93" s="18"/>
      <c r="Q93" s="18"/>
      <c r="R93" s="41"/>
      <c r="S93" s="18"/>
      <c r="T93" s="18"/>
      <c r="U93" s="18"/>
      <c r="V93" s="41"/>
      <c r="W93" s="18"/>
      <c r="X93" s="18"/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7AF2F-681C-DBC1-21EC-3115E0B3693B}">
  <sheetPr>
    <tabColor rgb="FFFFC00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">
        <v>313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34845</v>
      </c>
      <c r="E12" s="5"/>
      <c r="F12" s="13"/>
      <c r="G12" s="5"/>
      <c r="H12" s="5">
        <f>SUM(OSRRefH13x_0)</f>
        <v>22598</v>
      </c>
      <c r="I12" s="5"/>
      <c r="J12" s="13"/>
      <c r="K12" s="5"/>
      <c r="L12" s="5">
        <f>+D12-H12</f>
        <v>12247</v>
      </c>
      <c r="M12" s="5"/>
      <c r="N12" s="13">
        <f>IF(H12=0,0,L12/H12)</f>
        <v>0.54195061509868125</v>
      </c>
      <c r="O12" s="11"/>
      <c r="P12" s="5">
        <f>SUM(OSRRefP13x_0)</f>
        <v>346498</v>
      </c>
      <c r="Q12" s="5"/>
      <c r="R12" s="13"/>
      <c r="S12" s="5"/>
      <c r="T12" s="5">
        <f>SUM(OSRRefT13x_0)</f>
        <v>392254</v>
      </c>
      <c r="U12" s="5"/>
      <c r="V12" s="13"/>
      <c r="W12" s="5"/>
      <c r="X12" s="5">
        <f>+P12-T12</f>
        <v>-45756</v>
      </c>
      <c r="Y12" s="5"/>
      <c r="Z12" s="13">
        <f>IF(T12=0,0,X12/T12)</f>
        <v>-0.11664890606596746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--34845</f>
        <v>34845</v>
      </c>
      <c r="E13" s="3"/>
      <c r="F13" s="20"/>
      <c r="G13" s="3"/>
      <c r="H13" s="3">
        <f>--22598</f>
        <v>22598</v>
      </c>
      <c r="I13" s="3"/>
      <c r="J13" s="20"/>
      <c r="K13" s="3"/>
      <c r="L13" s="3">
        <f>+D13-H13</f>
        <v>12247</v>
      </c>
      <c r="M13" s="3"/>
      <c r="N13" s="20">
        <f>IF(H13=0,0,L13/H13)</f>
        <v>0.54195061509868125</v>
      </c>
      <c r="O13" s="12"/>
      <c r="P13" s="3">
        <f>--346498</f>
        <v>346498</v>
      </c>
      <c r="Q13" s="3"/>
      <c r="R13" s="20"/>
      <c r="S13" s="3"/>
      <c r="T13" s="3">
        <f>--392254</f>
        <v>392254</v>
      </c>
      <c r="U13" s="3"/>
      <c r="V13" s="20"/>
      <c r="W13" s="3"/>
      <c r="X13" s="3">
        <f>+P13-T13</f>
        <v>-45756</v>
      </c>
      <c r="Y13" s="3"/>
      <c r="Z13" s="20">
        <f>IF(T13=0,0,X13/T13)</f>
        <v>-0.11664890606596746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7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D12-D15</f>
        <v>34845</v>
      </c>
      <c r="E17" s="15"/>
      <c r="F17" s="22">
        <f>IF(D$12=0,0,D17/D$12)</f>
        <v>1</v>
      </c>
      <c r="G17" s="15"/>
      <c r="H17" s="23">
        <f>H12-H15</f>
        <v>22598</v>
      </c>
      <c r="I17" s="15"/>
      <c r="J17" s="22">
        <f>IF(H$12=0,0,H17/H$12)</f>
        <v>1</v>
      </c>
      <c r="K17" s="17"/>
      <c r="L17" s="23">
        <f>+D17-H17</f>
        <v>12247</v>
      </c>
      <c r="M17" s="17"/>
      <c r="N17" s="22">
        <f>IF(H17=0,0,L17/H17)</f>
        <v>0.54195061509868125</v>
      </c>
      <c r="O17" s="27"/>
      <c r="P17" s="23">
        <f>P12-P15</f>
        <v>346498</v>
      </c>
      <c r="Q17" s="15"/>
      <c r="R17" s="22">
        <f>IF(P$12=0,0,P17/P$12)</f>
        <v>1</v>
      </c>
      <c r="S17" s="15"/>
      <c r="T17" s="23">
        <f>T12-T15</f>
        <v>392254</v>
      </c>
      <c r="U17" s="15"/>
      <c r="V17" s="22">
        <f>IF(T$12=0,0,T17/T$12)</f>
        <v>1</v>
      </c>
      <c r="W17" s="17"/>
      <c r="X17" s="23">
        <f>+P17-T17</f>
        <v>-45756</v>
      </c>
      <c r="Y17" s="17"/>
      <c r="Z17" s="22">
        <f>IF(T17=0,0,X17/T17)</f>
        <v>-0.11664890606596746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 cm="1">
        <f t="array" ref="D19">SUM(OSRRefD22x_0)</f>
        <v>30247.550000000003</v>
      </c>
      <c r="E19" s="21"/>
      <c r="F19" s="30">
        <f t="shared" ref="F19:F59" si="0">IF(D$12=0,0,D19/D$12)</f>
        <v>0.86805997991103467</v>
      </c>
      <c r="G19" s="21"/>
      <c r="H19" s="21" cm="1">
        <f t="array" ref="H19">SUM(OSRRefH22x_0)</f>
        <v>17834.47</v>
      </c>
      <c r="I19" s="21"/>
      <c r="J19" s="30">
        <f t="shared" ref="J19:J59" si="1">IF(H$12=0,0,H19/H$12)</f>
        <v>0.78920568191875395</v>
      </c>
      <c r="K19" s="5"/>
      <c r="L19" s="21">
        <f t="shared" ref="L19:L59" si="2">+D19-H19</f>
        <v>12413.080000000002</v>
      </c>
      <c r="M19" s="5"/>
      <c r="N19" s="30">
        <f t="shared" ref="N19:N59" si="3">IF(H19=0,0,L19/H19)</f>
        <v>0.69601619784608126</v>
      </c>
      <c r="O19" s="11"/>
      <c r="P19" s="21" cm="1">
        <f t="array" ref="P19">SUM(OSRRefP22x_0)</f>
        <v>313285.86</v>
      </c>
      <c r="Q19" s="21"/>
      <c r="R19" s="30">
        <f t="shared" ref="R19:R59" si="4">IF(P$12=0,0,P19/P$12)</f>
        <v>0.9041491148578058</v>
      </c>
      <c r="S19" s="21"/>
      <c r="T19" s="21" cm="1">
        <f t="array" ref="T19">SUM(OSRRefT22x_0)</f>
        <v>326880.76</v>
      </c>
      <c r="U19" s="21"/>
      <c r="V19" s="30">
        <f t="shared" ref="V19:V59" si="5">IF(T$12=0,0,T19/T$12)</f>
        <v>0.83333951980094534</v>
      </c>
      <c r="W19" s="5"/>
      <c r="X19" s="21">
        <f t="shared" ref="X19:X59" si="6">+P19-T19</f>
        <v>-13594.900000000023</v>
      </c>
      <c r="Y19" s="5"/>
      <c r="Z19" s="30">
        <f t="shared" ref="Z19:Z59" si="7">IF(T19=0,0,X19/T19)</f>
        <v>-4.1589783381560982E-2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5605.2200000000012</v>
      </c>
      <c r="E20" s="2"/>
      <c r="F20" s="6">
        <f t="shared" si="0"/>
        <v>0.16086152963122402</v>
      </c>
      <c r="G20" s="2"/>
      <c r="H20" s="2">
        <f>SUM(OSRRefH22_0x_0)</f>
        <v>3867.33</v>
      </c>
      <c r="I20" s="2"/>
      <c r="J20" s="6">
        <f t="shared" si="1"/>
        <v>0.17113594123373749</v>
      </c>
      <c r="K20" s="2"/>
      <c r="L20" s="2">
        <f t="shared" si="2"/>
        <v>1737.8900000000012</v>
      </c>
      <c r="M20" s="2"/>
      <c r="N20" s="6">
        <f t="shared" si="3"/>
        <v>0.44937721890813592</v>
      </c>
      <c r="O20" s="14"/>
      <c r="P20" s="2">
        <f>SUM(OSRRefP22_0x_0)</f>
        <v>33614.540000000008</v>
      </c>
      <c r="Q20" s="2"/>
      <c r="R20" s="6">
        <f t="shared" si="4"/>
        <v>9.7012219406749853E-2</v>
      </c>
      <c r="S20" s="2"/>
      <c r="T20" s="2">
        <f>SUM(OSRRefT22_0x_0)</f>
        <v>33760.22</v>
      </c>
      <c r="U20" s="2"/>
      <c r="V20" s="6">
        <f t="shared" si="5"/>
        <v>8.6067242144120898E-2</v>
      </c>
      <c r="W20" s="2"/>
      <c r="X20" s="2">
        <f t="shared" si="6"/>
        <v>-145.67999999999302</v>
      </c>
      <c r="Y20" s="2"/>
      <c r="Z20" s="6">
        <f t="shared" si="7"/>
        <v>-4.3151377568035106E-3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912.86</v>
      </c>
      <c r="E21" s="3"/>
      <c r="F21" s="7">
        <f t="shared" si="0"/>
        <v>2.6197732816759939E-2</v>
      </c>
      <c r="G21" s="3"/>
      <c r="H21" s="8">
        <v>996.29</v>
      </c>
      <c r="I21" s="3"/>
      <c r="J21" s="7">
        <f t="shared" si="1"/>
        <v>4.4087529869899993E-2</v>
      </c>
      <c r="K21" s="3"/>
      <c r="L21" s="8">
        <f t="shared" si="2"/>
        <v>-83.42999999999995</v>
      </c>
      <c r="M21" s="3"/>
      <c r="N21" s="7">
        <f t="shared" si="3"/>
        <v>-8.3740677915064843E-2</v>
      </c>
      <c r="O21" s="12"/>
      <c r="P21" s="8">
        <v>8379.06</v>
      </c>
      <c r="Q21" s="3"/>
      <c r="R21" s="7">
        <f t="shared" si="4"/>
        <v>2.4182130921390599E-2</v>
      </c>
      <c r="S21" s="3"/>
      <c r="T21" s="8">
        <v>8117.07</v>
      </c>
      <c r="U21" s="3"/>
      <c r="V21" s="7">
        <f t="shared" si="5"/>
        <v>2.0693402744140277E-2</v>
      </c>
      <c r="W21" s="3"/>
      <c r="X21" s="8">
        <f t="shared" si="6"/>
        <v>261.98999999999978</v>
      </c>
      <c r="Y21" s="3"/>
      <c r="Z21" s="7">
        <f t="shared" si="7"/>
        <v>3.2276424867593821E-2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174.33</v>
      </c>
      <c r="E22" s="3"/>
      <c r="F22" s="7">
        <f t="shared" si="0"/>
        <v>5.0030133448127423E-3</v>
      </c>
      <c r="G22" s="3"/>
      <c r="H22" s="8">
        <v>80.06</v>
      </c>
      <c r="I22" s="3"/>
      <c r="J22" s="7">
        <f t="shared" si="1"/>
        <v>3.5427913974688027E-3</v>
      </c>
      <c r="K22" s="3"/>
      <c r="L22" s="8">
        <f t="shared" si="2"/>
        <v>94.27000000000001</v>
      </c>
      <c r="M22" s="3"/>
      <c r="N22" s="7">
        <f t="shared" si="3"/>
        <v>1.1774918810891832</v>
      </c>
      <c r="O22" s="12"/>
      <c r="P22" s="8">
        <v>1337.41</v>
      </c>
      <c r="Q22" s="3"/>
      <c r="R22" s="7">
        <f t="shared" si="4"/>
        <v>3.8597913985073508E-3</v>
      </c>
      <c r="S22" s="3"/>
      <c r="T22" s="8">
        <v>733.88</v>
      </c>
      <c r="U22" s="3"/>
      <c r="V22" s="7">
        <f t="shared" si="5"/>
        <v>1.8709305704976878E-3</v>
      </c>
      <c r="W22" s="3"/>
      <c r="X22" s="8">
        <f t="shared" si="6"/>
        <v>603.53000000000009</v>
      </c>
      <c r="Y22" s="3"/>
      <c r="Z22" s="7">
        <f t="shared" si="7"/>
        <v>0.82238240584291722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2.7685464198593773E-2</v>
      </c>
      <c r="G23" s="3"/>
      <c r="H23" s="8">
        <v>1207.95</v>
      </c>
      <c r="I23" s="3"/>
      <c r="J23" s="7">
        <f t="shared" si="1"/>
        <v>5.3453845473050716E-2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8255.5</v>
      </c>
      <c r="Q23" s="3"/>
      <c r="R23" s="7">
        <f t="shared" si="4"/>
        <v>2.3825534346518594E-2</v>
      </c>
      <c r="S23" s="3"/>
      <c r="T23" s="8">
        <v>9818.9</v>
      </c>
      <c r="U23" s="3"/>
      <c r="V23" s="7">
        <f t="shared" si="5"/>
        <v>2.5031994574943785E-2</v>
      </c>
      <c r="W23" s="3"/>
      <c r="X23" s="8">
        <f t="shared" si="6"/>
        <v>-1563.3999999999996</v>
      </c>
      <c r="Y23" s="3"/>
      <c r="Z23" s="7">
        <f t="shared" si="7"/>
        <v>-0.1592235382782185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34.5</v>
      </c>
      <c r="E24" s="3"/>
      <c r="F24" s="7">
        <f t="shared" si="0"/>
        <v>9.9009900990099011E-4</v>
      </c>
      <c r="G24" s="3"/>
      <c r="H24" s="8">
        <v>35.479999999999997</v>
      </c>
      <c r="I24" s="3"/>
      <c r="J24" s="7">
        <f t="shared" si="1"/>
        <v>1.5700504469422071E-3</v>
      </c>
      <c r="K24" s="3"/>
      <c r="L24" s="8">
        <f t="shared" si="2"/>
        <v>-0.97999999999999687</v>
      </c>
      <c r="M24" s="3"/>
      <c r="N24" s="7">
        <f t="shared" si="3"/>
        <v>-2.7621195039458764E-2</v>
      </c>
      <c r="O24" s="12"/>
      <c r="P24" s="8">
        <v>264.56</v>
      </c>
      <c r="Q24" s="3"/>
      <c r="R24" s="7">
        <f t="shared" si="4"/>
        <v>7.635253305935388E-4</v>
      </c>
      <c r="S24" s="3"/>
      <c r="T24" s="8">
        <v>320.04000000000002</v>
      </c>
      <c r="U24" s="3"/>
      <c r="V24" s="7">
        <f t="shared" si="5"/>
        <v>8.1589990159437514E-4</v>
      </c>
      <c r="W24" s="3"/>
      <c r="X24" s="8">
        <f t="shared" si="6"/>
        <v>-55.480000000000018</v>
      </c>
      <c r="Y24" s="3"/>
      <c r="Z24" s="7">
        <f t="shared" si="7"/>
        <v>-0.17335333083364585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1.8099870856650883E-2</v>
      </c>
      <c r="G25" s="3"/>
      <c r="H25" s="8">
        <v>640.35</v>
      </c>
      <c r="I25" s="3"/>
      <c r="J25" s="7">
        <f t="shared" si="1"/>
        <v>2.8336578458270645E-2</v>
      </c>
      <c r="K25" s="3"/>
      <c r="L25" s="8">
        <f t="shared" si="2"/>
        <v>-9.6599999999999682</v>
      </c>
      <c r="M25" s="3"/>
      <c r="N25" s="7">
        <f t="shared" si="3"/>
        <v>-1.5085500117123398E-2</v>
      </c>
      <c r="O25" s="12"/>
      <c r="P25" s="8">
        <v>5100.42</v>
      </c>
      <c r="Q25" s="3"/>
      <c r="R25" s="7">
        <f t="shared" si="4"/>
        <v>1.4719911803242731E-2</v>
      </c>
      <c r="S25" s="3"/>
      <c r="T25" s="8">
        <v>6420.58</v>
      </c>
      <c r="U25" s="3"/>
      <c r="V25" s="7">
        <f t="shared" si="5"/>
        <v>1.6368424541241135E-2</v>
      </c>
      <c r="W25" s="3"/>
      <c r="X25" s="8">
        <f t="shared" si="6"/>
        <v>-1320.1599999999999</v>
      </c>
      <c r="Y25" s="3"/>
      <c r="Z25" s="7">
        <f t="shared" si="7"/>
        <v>-0.205613823050254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/>
      <c r="E26" s="3"/>
      <c r="F26" s="7">
        <f t="shared" si="0"/>
        <v>0</v>
      </c>
      <c r="G26" s="3"/>
      <c r="H26" s="8">
        <v>87.92</v>
      </c>
      <c r="I26" s="3"/>
      <c r="J26" s="7">
        <f t="shared" si="1"/>
        <v>3.8906097884768565E-3</v>
      </c>
      <c r="K26" s="3"/>
      <c r="L26" s="8">
        <f t="shared" si="2"/>
        <v>-87.92</v>
      </c>
      <c r="M26" s="3"/>
      <c r="N26" s="7">
        <f t="shared" si="3"/>
        <v>-1</v>
      </c>
      <c r="O26" s="12"/>
      <c r="P26" s="8">
        <v>215.15</v>
      </c>
      <c r="Q26" s="3"/>
      <c r="R26" s="7">
        <f t="shared" si="4"/>
        <v>6.2092710491835456E-4</v>
      </c>
      <c r="S26" s="3"/>
      <c r="T26" s="8">
        <v>697.86</v>
      </c>
      <c r="U26" s="3"/>
      <c r="V26" s="7">
        <f t="shared" si="5"/>
        <v>1.7791023163562386E-3</v>
      </c>
      <c r="W26" s="3"/>
      <c r="X26" s="8">
        <f t="shared" si="6"/>
        <v>-482.71000000000004</v>
      </c>
      <c r="Y26" s="3"/>
      <c r="Z26" s="7">
        <f t="shared" si="7"/>
        <v>-0.69170034104261602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1219.74</v>
      </c>
      <c r="E27" s="3"/>
      <c r="F27" s="7">
        <f t="shared" si="0"/>
        <v>3.500473525613431E-2</v>
      </c>
      <c r="G27" s="3"/>
      <c r="H27" s="8">
        <v>520.02</v>
      </c>
      <c r="I27" s="3"/>
      <c r="J27" s="7">
        <f t="shared" si="1"/>
        <v>2.3011770953181698E-2</v>
      </c>
      <c r="K27" s="3"/>
      <c r="L27" s="8">
        <f t="shared" si="2"/>
        <v>699.72</v>
      </c>
      <c r="M27" s="3"/>
      <c r="N27" s="7">
        <f t="shared" si="3"/>
        <v>1.3455636321679936</v>
      </c>
      <c r="O27" s="12"/>
      <c r="P27" s="8">
        <v>5351.39</v>
      </c>
      <c r="Q27" s="3"/>
      <c r="R27" s="7">
        <f t="shared" si="4"/>
        <v>1.5444216128231622E-2</v>
      </c>
      <c r="S27" s="3"/>
      <c r="T27" s="8">
        <v>4420.17</v>
      </c>
      <c r="U27" s="3"/>
      <c r="V27" s="7">
        <f t="shared" si="5"/>
        <v>1.1268642257312864E-2</v>
      </c>
      <c r="W27" s="3"/>
      <c r="X27" s="8">
        <f t="shared" si="6"/>
        <v>931.22000000000025</v>
      </c>
      <c r="Y27" s="3"/>
      <c r="Z27" s="7">
        <f t="shared" si="7"/>
        <v>0.2106751550279741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1594.65</v>
      </c>
      <c r="E28" s="3"/>
      <c r="F28" s="7">
        <f t="shared" si="0"/>
        <v>4.5764098148945331E-2</v>
      </c>
      <c r="G28" s="3"/>
      <c r="H28" s="8">
        <v>299.26</v>
      </c>
      <c r="I28" s="3"/>
      <c r="J28" s="7">
        <f t="shared" si="1"/>
        <v>1.3242764846446587E-2</v>
      </c>
      <c r="K28" s="3"/>
      <c r="L28" s="8">
        <f t="shared" si="2"/>
        <v>1295.3900000000001</v>
      </c>
      <c r="M28" s="3"/>
      <c r="N28" s="7">
        <f t="shared" si="3"/>
        <v>4.3286439885049797</v>
      </c>
      <c r="O28" s="12"/>
      <c r="P28" s="8">
        <v>4208.55</v>
      </c>
      <c r="Q28" s="3"/>
      <c r="R28" s="7">
        <f t="shared" si="4"/>
        <v>1.2145957552424546E-2</v>
      </c>
      <c r="S28" s="3"/>
      <c r="T28" s="8">
        <v>2543.7199999999998</v>
      </c>
      <c r="U28" s="3"/>
      <c r="V28" s="7">
        <f t="shared" si="5"/>
        <v>6.4848796952994741E-3</v>
      </c>
      <c r="W28" s="3"/>
      <c r="X28" s="8">
        <f t="shared" si="6"/>
        <v>1664.8300000000004</v>
      </c>
      <c r="Y28" s="3"/>
      <c r="Z28" s="7">
        <f t="shared" si="7"/>
        <v>0.65448634283647589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73.75</v>
      </c>
      <c r="E29" s="3"/>
      <c r="F29" s="7">
        <f t="shared" si="0"/>
        <v>2.1165159994260296E-3</v>
      </c>
      <c r="G29" s="3"/>
      <c r="H29" s="8"/>
      <c r="I29" s="3"/>
      <c r="J29" s="7">
        <f t="shared" si="1"/>
        <v>0</v>
      </c>
      <c r="K29" s="3"/>
      <c r="L29" s="8">
        <f t="shared" si="2"/>
        <v>73.75</v>
      </c>
      <c r="M29" s="3"/>
      <c r="N29" s="7">
        <f t="shared" si="3"/>
        <v>0</v>
      </c>
      <c r="O29" s="12"/>
      <c r="P29" s="8">
        <v>502.5</v>
      </c>
      <c r="Q29" s="3"/>
      <c r="R29" s="7">
        <f t="shared" si="4"/>
        <v>1.4502248209224873E-3</v>
      </c>
      <c r="S29" s="3"/>
      <c r="T29" s="8">
        <v>688</v>
      </c>
      <c r="U29" s="3"/>
      <c r="V29" s="7">
        <f t="shared" si="5"/>
        <v>1.7539655427350645E-3</v>
      </c>
      <c r="W29" s="3"/>
      <c r="X29" s="8">
        <f t="shared" si="6"/>
        <v>-185.5</v>
      </c>
      <c r="Y29" s="3"/>
      <c r="Z29" s="7">
        <f t="shared" si="7"/>
        <v>-0.26962209302325579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13747.22</v>
      </c>
      <c r="E30" s="2"/>
      <c r="F30" s="6">
        <f t="shared" si="0"/>
        <v>0.39452489596785761</v>
      </c>
      <c r="G30" s="2"/>
      <c r="H30" s="2">
        <f>SUM(OSRRefH22_1x_0)</f>
        <v>13003.130000000001</v>
      </c>
      <c r="I30" s="2"/>
      <c r="J30" s="6">
        <f t="shared" si="1"/>
        <v>0.57541065581024875</v>
      </c>
      <c r="K30" s="2"/>
      <c r="L30" s="2">
        <f t="shared" si="2"/>
        <v>744.08999999999833</v>
      </c>
      <c r="M30" s="2"/>
      <c r="N30" s="6">
        <f t="shared" si="3"/>
        <v>5.7223914549804411E-2</v>
      </c>
      <c r="O30" s="14"/>
      <c r="P30" s="2">
        <f>SUM(OSRRefP22_1x_0)</f>
        <v>117059.17000000001</v>
      </c>
      <c r="Q30" s="2"/>
      <c r="R30" s="6">
        <f t="shared" si="4"/>
        <v>0.33783505243897516</v>
      </c>
      <c r="S30" s="2"/>
      <c r="T30" s="2">
        <f>SUM(OSRRefT22_1x_0)</f>
        <v>115180.55</v>
      </c>
      <c r="U30" s="2"/>
      <c r="V30" s="6">
        <f t="shared" si="5"/>
        <v>0.29363766844952505</v>
      </c>
      <c r="W30" s="2"/>
      <c r="X30" s="2">
        <f t="shared" si="6"/>
        <v>1878.6200000000099</v>
      </c>
      <c r="Y30" s="2"/>
      <c r="Z30" s="6">
        <f t="shared" si="7"/>
        <v>1.6310219043059005E-2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4426.34</v>
      </c>
      <c r="E31" s="3"/>
      <c r="F31" s="7">
        <f t="shared" si="0"/>
        <v>0.12702941598507678</v>
      </c>
      <c r="G31" s="3"/>
      <c r="H31" s="8">
        <v>4205.72</v>
      </c>
      <c r="I31" s="3"/>
      <c r="J31" s="7">
        <f t="shared" si="1"/>
        <v>0.18611027524559698</v>
      </c>
      <c r="K31" s="3"/>
      <c r="L31" s="8">
        <f t="shared" si="2"/>
        <v>220.61999999999989</v>
      </c>
      <c r="M31" s="3"/>
      <c r="N31" s="7">
        <f t="shared" si="3"/>
        <v>5.2457129813682286E-2</v>
      </c>
      <c r="O31" s="12"/>
      <c r="P31" s="8">
        <v>38117.57</v>
      </c>
      <c r="Q31" s="3"/>
      <c r="R31" s="7">
        <f t="shared" si="4"/>
        <v>0.11000805199452811</v>
      </c>
      <c r="S31" s="3"/>
      <c r="T31" s="8">
        <v>35118.33</v>
      </c>
      <c r="U31" s="3"/>
      <c r="V31" s="7">
        <f t="shared" si="5"/>
        <v>8.9529565026742877E-2</v>
      </c>
      <c r="W31" s="3"/>
      <c r="X31" s="8">
        <f t="shared" si="6"/>
        <v>2999.239999999998</v>
      </c>
      <c r="Y31" s="3"/>
      <c r="Z31" s="7">
        <f t="shared" si="7"/>
        <v>8.5403833268837034E-2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>
        <v>1700</v>
      </c>
      <c r="E32" s="3"/>
      <c r="F32" s="7">
        <f t="shared" si="0"/>
        <v>4.8787487444396614E-2</v>
      </c>
      <c r="G32" s="3"/>
      <c r="H32" s="8">
        <v>2282.3000000000002</v>
      </c>
      <c r="I32" s="3"/>
      <c r="J32" s="7">
        <f t="shared" si="1"/>
        <v>0.10099566333303833</v>
      </c>
      <c r="K32" s="3"/>
      <c r="L32" s="8">
        <f t="shared" si="2"/>
        <v>-582.30000000000018</v>
      </c>
      <c r="M32" s="3"/>
      <c r="N32" s="7">
        <f t="shared" si="3"/>
        <v>-0.25513736143364157</v>
      </c>
      <c r="O32" s="12"/>
      <c r="P32" s="8">
        <v>14952.57</v>
      </c>
      <c r="Q32" s="3"/>
      <c r="R32" s="7">
        <f t="shared" si="4"/>
        <v>4.3153409254887476E-2</v>
      </c>
      <c r="S32" s="3"/>
      <c r="T32" s="8">
        <v>18829.39</v>
      </c>
      <c r="U32" s="3"/>
      <c r="V32" s="7">
        <f t="shared" si="5"/>
        <v>4.8003054143488655E-2</v>
      </c>
      <c r="W32" s="3"/>
      <c r="X32" s="8">
        <f t="shared" si="6"/>
        <v>-3876.8199999999997</v>
      </c>
      <c r="Y32" s="3"/>
      <c r="Z32" s="7">
        <f t="shared" si="7"/>
        <v>-0.20589195932528881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1486.34</v>
      </c>
      <c r="E33" s="3"/>
      <c r="F33" s="7">
        <f t="shared" si="0"/>
        <v>4.2655761228296743E-2</v>
      </c>
      <c r="G33" s="3"/>
      <c r="H33" s="8"/>
      <c r="I33" s="3"/>
      <c r="J33" s="7">
        <f t="shared" si="1"/>
        <v>0</v>
      </c>
      <c r="K33" s="3"/>
      <c r="L33" s="8">
        <f t="shared" si="2"/>
        <v>1486.34</v>
      </c>
      <c r="M33" s="3"/>
      <c r="N33" s="7">
        <f t="shared" si="3"/>
        <v>0</v>
      </c>
      <c r="O33" s="12"/>
      <c r="P33" s="8">
        <v>10497.24</v>
      </c>
      <c r="Q33" s="3"/>
      <c r="R33" s="7">
        <f t="shared" si="4"/>
        <v>3.029523979936392E-2</v>
      </c>
      <c r="S33" s="3"/>
      <c r="T33" s="8"/>
      <c r="U33" s="3"/>
      <c r="V33" s="7">
        <f t="shared" si="5"/>
        <v>0</v>
      </c>
      <c r="W33" s="3"/>
      <c r="X33" s="8">
        <f t="shared" si="6"/>
        <v>10497.24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5369.89</v>
      </c>
      <c r="E34" s="3"/>
      <c r="F34" s="7">
        <f t="shared" si="0"/>
        <v>0.15410790644281822</v>
      </c>
      <c r="G34" s="3"/>
      <c r="H34" s="8">
        <v>6611.59</v>
      </c>
      <c r="I34" s="3"/>
      <c r="J34" s="7">
        <f t="shared" si="1"/>
        <v>0.29257412160368174</v>
      </c>
      <c r="K34" s="3"/>
      <c r="L34" s="8">
        <f t="shared" si="2"/>
        <v>-1241.6999999999998</v>
      </c>
      <c r="M34" s="3"/>
      <c r="N34" s="7">
        <f t="shared" si="3"/>
        <v>-0.18780656392789025</v>
      </c>
      <c r="O34" s="12"/>
      <c r="P34" s="8">
        <v>45635.19</v>
      </c>
      <c r="Q34" s="3"/>
      <c r="R34" s="7">
        <f t="shared" si="4"/>
        <v>0.13170405023982823</v>
      </c>
      <c r="S34" s="3"/>
      <c r="T34" s="8">
        <v>51774.17</v>
      </c>
      <c r="U34" s="3"/>
      <c r="V34" s="7">
        <f t="shared" si="5"/>
        <v>0.13199143922050507</v>
      </c>
      <c r="W34" s="3"/>
      <c r="X34" s="8">
        <f t="shared" si="6"/>
        <v>-6138.9799999999959</v>
      </c>
      <c r="Y34" s="3"/>
      <c r="Z34" s="7">
        <f t="shared" si="7"/>
        <v>-0.1185722533070061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764.65</v>
      </c>
      <c r="E35" s="3"/>
      <c r="F35" s="7">
        <f t="shared" si="0"/>
        <v>2.1944324867269334E-2</v>
      </c>
      <c r="G35" s="3"/>
      <c r="H35" s="8">
        <v>-645</v>
      </c>
      <c r="I35" s="3"/>
      <c r="J35" s="7">
        <f t="shared" si="1"/>
        <v>-2.8542348880431896E-2</v>
      </c>
      <c r="K35" s="3"/>
      <c r="L35" s="8">
        <f t="shared" si="2"/>
        <v>1409.65</v>
      </c>
      <c r="M35" s="3"/>
      <c r="N35" s="7">
        <f t="shared" si="3"/>
        <v>-2.1855038759689922</v>
      </c>
      <c r="O35" s="12"/>
      <c r="P35" s="8">
        <v>7692.38</v>
      </c>
      <c r="Q35" s="3"/>
      <c r="R35" s="7">
        <f t="shared" si="4"/>
        <v>2.2200359020831291E-2</v>
      </c>
      <c r="S35" s="3"/>
      <c r="T35" s="8">
        <v>5546.78</v>
      </c>
      <c r="U35" s="3"/>
      <c r="V35" s="7">
        <f t="shared" si="5"/>
        <v>1.4140786327226745E-2</v>
      </c>
      <c r="W35" s="3"/>
      <c r="X35" s="8">
        <f t="shared" si="6"/>
        <v>2145.6000000000004</v>
      </c>
      <c r="Y35" s="3"/>
      <c r="Z35" s="7">
        <f t="shared" si="7"/>
        <v>0.38681901932292256</v>
      </c>
    </row>
    <row r="36" spans="1:26" s="69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>
        <v>548.52</v>
      </c>
      <c r="I36" s="3"/>
      <c r="J36" s="7">
        <f t="shared" si="1"/>
        <v>2.4272944508363571E-2</v>
      </c>
      <c r="K36" s="3"/>
      <c r="L36" s="8">
        <f t="shared" si="2"/>
        <v>-548.52</v>
      </c>
      <c r="M36" s="3"/>
      <c r="N36" s="7">
        <f t="shared" si="3"/>
        <v>-1</v>
      </c>
      <c r="O36" s="12"/>
      <c r="P36" s="8">
        <v>164.22</v>
      </c>
      <c r="Q36" s="3"/>
      <c r="R36" s="7">
        <f t="shared" si="4"/>
        <v>4.7394212953610123E-4</v>
      </c>
      <c r="S36" s="3"/>
      <c r="T36" s="8">
        <v>3911.88</v>
      </c>
      <c r="U36" s="3"/>
      <c r="V36" s="7">
        <f t="shared" si="5"/>
        <v>9.9728237315616919E-3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112.46</v>
      </c>
      <c r="Q37" s="2"/>
      <c r="R37" s="6">
        <f t="shared" si="4"/>
        <v>3.245617579322247E-4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112.46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112.46</v>
      </c>
      <c r="Q38" s="3"/>
      <c r="R38" s="7">
        <f t="shared" si="4"/>
        <v>3.245617579322247E-4</v>
      </c>
      <c r="S38" s="3"/>
      <c r="T38" s="8"/>
      <c r="U38" s="3"/>
      <c r="V38" s="7">
        <f t="shared" si="5"/>
        <v>0</v>
      </c>
      <c r="W38" s="3"/>
      <c r="X38" s="8">
        <f t="shared" si="6"/>
        <v>112.46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871.71</v>
      </c>
      <c r="E39" s="2"/>
      <c r="F39" s="6">
        <f t="shared" si="0"/>
        <v>2.5016788635385277E-2</v>
      </c>
      <c r="G39" s="2"/>
      <c r="H39" s="2">
        <f>SUM(OSRRefH22_3x_0)</f>
        <v>37</v>
      </c>
      <c r="I39" s="2"/>
      <c r="J39" s="6">
        <f t="shared" si="1"/>
        <v>1.6373130365519072E-3</v>
      </c>
      <c r="K39" s="2"/>
      <c r="L39" s="2">
        <f t="shared" si="2"/>
        <v>834.71</v>
      </c>
      <c r="M39" s="2"/>
      <c r="N39" s="6">
        <f t="shared" si="3"/>
        <v>22.559729729729732</v>
      </c>
      <c r="O39" s="14"/>
      <c r="P39" s="2">
        <f>SUM(OSRRefP22_3x_0)</f>
        <v>2772.18</v>
      </c>
      <c r="Q39" s="2"/>
      <c r="R39" s="6">
        <f t="shared" si="4"/>
        <v>8.0005656598306479E-3</v>
      </c>
      <c r="S39" s="2"/>
      <c r="T39" s="2">
        <f>SUM(OSRRefT22_3x_0)</f>
        <v>707.89</v>
      </c>
      <c r="U39" s="2"/>
      <c r="V39" s="6">
        <f t="shared" si="5"/>
        <v>1.8046724826260535E-3</v>
      </c>
      <c r="W39" s="2"/>
      <c r="X39" s="2">
        <f t="shared" si="6"/>
        <v>2064.29</v>
      </c>
      <c r="Y39" s="2"/>
      <c r="Z39" s="6">
        <f t="shared" si="7"/>
        <v>2.9161169108194778</v>
      </c>
    </row>
    <row r="40" spans="1:26" s="69" customFormat="1" ht="15" hidden="1" customHeight="1" outlineLevel="2" x14ac:dyDescent="0.3">
      <c r="A40" s="26"/>
      <c r="B40" s="12" t="str">
        <f>CONCATENATE("          ","6381"," - ","BANK/CREDIT CARD FEES")</f>
        <v xml:space="preserve">          6381 - BANK/CREDIT CARD FEES</v>
      </c>
      <c r="C40" s="12"/>
      <c r="D40" s="8">
        <v>871.71</v>
      </c>
      <c r="E40" s="3"/>
      <c r="F40" s="7">
        <f t="shared" si="0"/>
        <v>2.5016788635385277E-2</v>
      </c>
      <c r="G40" s="3"/>
      <c r="H40" s="8">
        <v>37</v>
      </c>
      <c r="I40" s="3"/>
      <c r="J40" s="7">
        <f t="shared" si="1"/>
        <v>1.6373130365519072E-3</v>
      </c>
      <c r="K40" s="3"/>
      <c r="L40" s="8">
        <f t="shared" si="2"/>
        <v>834.71</v>
      </c>
      <c r="M40" s="3"/>
      <c r="N40" s="7">
        <f t="shared" si="3"/>
        <v>22.559729729729732</v>
      </c>
      <c r="O40" s="12"/>
      <c r="P40" s="8">
        <v>2772.18</v>
      </c>
      <c r="Q40" s="3"/>
      <c r="R40" s="7">
        <f t="shared" si="4"/>
        <v>8.0005656598306479E-3</v>
      </c>
      <c r="S40" s="3"/>
      <c r="T40" s="8">
        <v>707.89</v>
      </c>
      <c r="U40" s="3"/>
      <c r="V40" s="7">
        <f t="shared" si="5"/>
        <v>1.8046724826260535E-3</v>
      </c>
      <c r="W40" s="3"/>
      <c r="X40" s="8">
        <f t="shared" si="6"/>
        <v>2064.29</v>
      </c>
      <c r="Y40" s="3"/>
      <c r="Z40" s="7">
        <f t="shared" si="7"/>
        <v>2.9161169108194778</v>
      </c>
    </row>
    <row r="41" spans="1:26" s="68" customFormat="1" ht="15" customHeight="1" outlineLevel="1" collapsed="1" x14ac:dyDescent="0.3">
      <c r="A41" s="25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1.7893321173570988E-6</v>
      </c>
      <c r="S41" s="2"/>
      <c r="T41" s="2">
        <f>SUM(OSRRefT22_4x_0)</f>
        <v>2.12</v>
      </c>
      <c r="U41" s="2"/>
      <c r="V41" s="6">
        <f t="shared" si="5"/>
        <v>5.4046612654045596E-6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6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1.7893321173570988E-6</v>
      </c>
      <c r="S42" s="3"/>
      <c r="T42" s="8">
        <v>1.62</v>
      </c>
      <c r="U42" s="3"/>
      <c r="V42" s="7">
        <f t="shared" si="5"/>
        <v>4.129977004695937E-6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6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1.2746842607086224E-6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1.1315827234897402E-3</v>
      </c>
      <c r="G44" s="2"/>
      <c r="H44" s="2">
        <f>SUM(OSRRefH22_5x_0)</f>
        <v>29.01</v>
      </c>
      <c r="I44" s="2"/>
      <c r="J44" s="6">
        <f t="shared" si="1"/>
        <v>1.2837419240640765E-3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315.44</v>
      </c>
      <c r="Q44" s="2"/>
      <c r="R44" s="6">
        <f t="shared" si="4"/>
        <v>9.1036600499858587E-4</v>
      </c>
      <c r="S44" s="2"/>
      <c r="T44" s="2">
        <f>SUM(OSRRefT22_5x_0)</f>
        <v>232.08</v>
      </c>
      <c r="U44" s="2"/>
      <c r="V44" s="6">
        <f t="shared" si="5"/>
        <v>5.9165744645051424E-4</v>
      </c>
      <c r="W44" s="2"/>
      <c r="X44" s="2">
        <f t="shared" si="6"/>
        <v>83.359999999999985</v>
      </c>
      <c r="Y44" s="2"/>
      <c r="Z44" s="6">
        <f t="shared" si="7"/>
        <v>0.35918648741813158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1.1315827234897402E-3</v>
      </c>
      <c r="G45" s="3"/>
      <c r="H45" s="8">
        <v>29.01</v>
      </c>
      <c r="I45" s="3"/>
      <c r="J45" s="7">
        <f t="shared" si="1"/>
        <v>1.2837419240640765E-3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315.44</v>
      </c>
      <c r="Q45" s="3"/>
      <c r="R45" s="7">
        <f t="shared" si="4"/>
        <v>9.1036600499858587E-4</v>
      </c>
      <c r="S45" s="3"/>
      <c r="T45" s="8">
        <v>232.08</v>
      </c>
      <c r="U45" s="3"/>
      <c r="V45" s="7">
        <f t="shared" si="5"/>
        <v>5.9165744645051424E-4</v>
      </c>
      <c r="W45" s="3"/>
      <c r="X45" s="8">
        <f t="shared" si="6"/>
        <v>83.359999999999985</v>
      </c>
      <c r="Y45" s="3"/>
      <c r="Z45" s="7">
        <f t="shared" si="7"/>
        <v>0.35918648741813158</v>
      </c>
    </row>
    <row r="46" spans="1:26" s="68" customFormat="1" ht="15" customHeight="1" outlineLevel="1" collapsed="1" x14ac:dyDescent="0.3">
      <c r="A46" s="25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2.2958817620892524E-2</v>
      </c>
      <c r="G46" s="2"/>
      <c r="H46" s="2">
        <f>SUM(OSRRefH22_6x_0)</f>
        <v>800</v>
      </c>
      <c r="I46" s="2"/>
      <c r="J46" s="6">
        <f t="shared" si="1"/>
        <v>3.5401362952473668E-2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6400</v>
      </c>
      <c r="Q46" s="2"/>
      <c r="R46" s="6">
        <f t="shared" si="4"/>
        <v>1.8470525082395859E-2</v>
      </c>
      <c r="S46" s="2"/>
      <c r="T46" s="2">
        <f>SUM(OSRRefT22_6x_0)</f>
        <v>6400</v>
      </c>
      <c r="U46" s="2"/>
      <c r="V46" s="6">
        <f t="shared" si="5"/>
        <v>1.6315958537070369E-2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2.2958817620892524E-2</v>
      </c>
      <c r="G47" s="3"/>
      <c r="H47" s="8">
        <v>800</v>
      </c>
      <c r="I47" s="3"/>
      <c r="J47" s="7">
        <f t="shared" si="1"/>
        <v>3.5401362952473668E-2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6400</v>
      </c>
      <c r="Q47" s="3"/>
      <c r="R47" s="7">
        <f t="shared" si="4"/>
        <v>1.8470525082395859E-2</v>
      </c>
      <c r="S47" s="3"/>
      <c r="T47" s="8">
        <v>6400</v>
      </c>
      <c r="U47" s="3"/>
      <c r="V47" s="7">
        <f t="shared" si="5"/>
        <v>1.6315958537070369E-2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7583.7</v>
      </c>
      <c r="E48" s="2"/>
      <c r="F48" s="6">
        <f t="shared" si="0"/>
        <v>0.21764098148945329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7583.7</v>
      </c>
      <c r="M48" s="2"/>
      <c r="N48" s="6">
        <f t="shared" si="3"/>
        <v>0</v>
      </c>
      <c r="O48" s="14"/>
      <c r="P48" s="2">
        <f>SUM(OSRRefP22_7x_0)</f>
        <v>131139.97</v>
      </c>
      <c r="Q48" s="2"/>
      <c r="R48" s="6">
        <f t="shared" si="4"/>
        <v>0.37847251643588131</v>
      </c>
      <c r="S48" s="2"/>
      <c r="T48" s="2">
        <f>SUM(OSRRefT22_7x_0)</f>
        <v>126914.9</v>
      </c>
      <c r="U48" s="2"/>
      <c r="V48" s="6">
        <f t="shared" si="5"/>
        <v>0.32355285095881747</v>
      </c>
      <c r="W48" s="2"/>
      <c r="X48" s="2">
        <f t="shared" si="6"/>
        <v>4225.070000000007</v>
      </c>
      <c r="Y48" s="2"/>
      <c r="Z48" s="6">
        <f t="shared" si="7"/>
        <v>3.3290575023106089E-2</v>
      </c>
    </row>
    <row r="49" spans="1:26" s="69" customFormat="1" ht="15" hidden="1" customHeight="1" outlineLevel="2" x14ac:dyDescent="0.3">
      <c r="A49" s="26"/>
      <c r="B49" s="12" t="str">
        <f>CONCATENATE("          ","6371"," - ","COMPUTER SOFTWARE MAINTENANCE")</f>
        <v xml:space="preserve">          6371 - COMPUTER SOFTWARE MAINTENANCE</v>
      </c>
      <c r="C49" s="12"/>
      <c r="D49" s="8">
        <v>7583.7</v>
      </c>
      <c r="E49" s="3"/>
      <c r="F49" s="7">
        <f t="shared" si="0"/>
        <v>0.21764098148945329</v>
      </c>
      <c r="G49" s="3"/>
      <c r="H49" s="8"/>
      <c r="I49" s="3"/>
      <c r="J49" s="7">
        <f t="shared" si="1"/>
        <v>0</v>
      </c>
      <c r="K49" s="3"/>
      <c r="L49" s="8">
        <f t="shared" si="2"/>
        <v>7583.7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2.1886706416775852E-2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4.4896363038170496E-3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122000.62</v>
      </c>
      <c r="Q51" s="3"/>
      <c r="R51" s="7">
        <f t="shared" si="4"/>
        <v>0.3520961737152884</v>
      </c>
      <c r="S51" s="3"/>
      <c r="T51" s="8">
        <v>120352.9</v>
      </c>
      <c r="U51" s="3"/>
      <c r="V51" s="7">
        <f t="shared" si="5"/>
        <v>0.30682389472127752</v>
      </c>
      <c r="W51" s="3"/>
      <c r="X51" s="8">
        <f t="shared" si="6"/>
        <v>1647.7200000000012</v>
      </c>
      <c r="Y51" s="3"/>
      <c r="Z51" s="7">
        <f t="shared" si="7"/>
        <v>1.3690737821855569E-2</v>
      </c>
    </row>
    <row r="52" spans="1:26" s="69" customFormat="1" ht="15" hidden="1" customHeight="1" outlineLevel="2" x14ac:dyDescent="0.3">
      <c r="A52" s="26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1.6728956237539963E-2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5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1513.07</v>
      </c>
      <c r="E53" s="2"/>
      <c r="F53" s="6">
        <f t="shared" si="0"/>
        <v>4.3422872722054813E-2</v>
      </c>
      <c r="G53" s="2"/>
      <c r="H53" s="2">
        <f>SUM(OSRRefH22_8x_0)</f>
        <v>11.55</v>
      </c>
      <c r="I53" s="2"/>
      <c r="J53" s="6">
        <f t="shared" si="1"/>
        <v>5.1110717762633867E-4</v>
      </c>
      <c r="K53" s="2"/>
      <c r="L53" s="2">
        <f t="shared" si="2"/>
        <v>1501.52</v>
      </c>
      <c r="M53" s="2"/>
      <c r="N53" s="6">
        <f t="shared" si="3"/>
        <v>130.00173160173159</v>
      </c>
      <c r="O53" s="14"/>
      <c r="P53" s="2">
        <f>SUM(OSRRefP22_8x_0)</f>
        <v>19591.280000000002</v>
      </c>
      <c r="Q53" s="2"/>
      <c r="R53" s="6">
        <f t="shared" si="4"/>
        <v>5.6540816974412558E-2</v>
      </c>
      <c r="S53" s="2"/>
      <c r="T53" s="2">
        <f>SUM(OSRRefT22_8x_0)</f>
        <v>42058.17</v>
      </c>
      <c r="U53" s="2"/>
      <c r="V53" s="6">
        <f t="shared" si="5"/>
        <v>0.10722177466641512</v>
      </c>
      <c r="W53" s="2"/>
      <c r="X53" s="2">
        <f t="shared" si="6"/>
        <v>-22466.889999999996</v>
      </c>
      <c r="Y53" s="2"/>
      <c r="Z53" s="6">
        <f t="shared" si="7"/>
        <v>-0.53418610462604521</v>
      </c>
    </row>
    <row r="54" spans="1:26" s="69" customFormat="1" ht="15" hidden="1" customHeight="1" outlineLevel="2" x14ac:dyDescent="0.3">
      <c r="A54" s="26"/>
      <c r="B54" s="12" t="str">
        <f>CONCATENATE("          ","6241"," - ","OFFICE EXPENSE")</f>
        <v xml:space="preserve">          6241 - OFFICE EXPENSE</v>
      </c>
      <c r="C54" s="12"/>
      <c r="D54" s="8">
        <v>1513.07</v>
      </c>
      <c r="E54" s="3"/>
      <c r="F54" s="7">
        <f t="shared" si="0"/>
        <v>4.3422872722054813E-2</v>
      </c>
      <c r="G54" s="3"/>
      <c r="H54" s="8">
        <v>11.55</v>
      </c>
      <c r="I54" s="3"/>
      <c r="J54" s="7">
        <f t="shared" si="1"/>
        <v>5.1110717762633867E-4</v>
      </c>
      <c r="K54" s="3"/>
      <c r="L54" s="8">
        <f t="shared" si="2"/>
        <v>1501.52</v>
      </c>
      <c r="M54" s="3"/>
      <c r="N54" s="7">
        <f t="shared" si="3"/>
        <v>130.00173160173159</v>
      </c>
      <c r="O54" s="12"/>
      <c r="P54" s="8">
        <v>19574.740000000002</v>
      </c>
      <c r="Q54" s="3"/>
      <c r="R54" s="7">
        <f t="shared" si="4"/>
        <v>5.6493082211152741E-2</v>
      </c>
      <c r="S54" s="3"/>
      <c r="T54" s="8">
        <v>42058.17</v>
      </c>
      <c r="U54" s="3"/>
      <c r="V54" s="7">
        <f t="shared" si="5"/>
        <v>0.10722177466641512</v>
      </c>
      <c r="W54" s="3"/>
      <c r="X54" s="8">
        <f t="shared" si="6"/>
        <v>-22483.429999999997</v>
      </c>
      <c r="Y54" s="3"/>
      <c r="Z54" s="7">
        <f t="shared" si="7"/>
        <v>-0.53457936947803475</v>
      </c>
    </row>
    <row r="55" spans="1:26" s="69" customFormat="1" ht="15" hidden="1" customHeight="1" outlineLevel="2" x14ac:dyDescent="0.3">
      <c r="A55" s="26"/>
      <c r="B55" s="12" t="str">
        <f>CONCATENATE("          ","6247"," - ","STORE SUPPLIES")</f>
        <v xml:space="preserve">          6247 - STORE SUPPLIES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16.54</v>
      </c>
      <c r="Q55" s="3"/>
      <c r="R55" s="7">
        <f t="shared" si="4"/>
        <v>4.7734763259816794E-5</v>
      </c>
      <c r="S55" s="3"/>
      <c r="T55" s="8"/>
      <c r="U55" s="3"/>
      <c r="V55" s="7">
        <f t="shared" si="5"/>
        <v>0</v>
      </c>
      <c r="W55" s="3"/>
      <c r="X55" s="8">
        <f t="shared" si="6"/>
        <v>16.54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5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87.2</v>
      </c>
      <c r="E56" s="2"/>
      <c r="F56" s="6">
        <f t="shared" si="0"/>
        <v>2.5025111206772852E-3</v>
      </c>
      <c r="G56" s="2"/>
      <c r="H56" s="2">
        <f>SUM(OSRRefH22_9x_0)</f>
        <v>86.45</v>
      </c>
      <c r="I56" s="2"/>
      <c r="J56" s="6">
        <f t="shared" si="1"/>
        <v>3.8255597840516861E-3</v>
      </c>
      <c r="K56" s="2"/>
      <c r="L56" s="2">
        <f t="shared" si="2"/>
        <v>0.75</v>
      </c>
      <c r="M56" s="2"/>
      <c r="N56" s="6">
        <f t="shared" si="3"/>
        <v>8.6755349913244639E-3</v>
      </c>
      <c r="O56" s="14"/>
      <c r="P56" s="2">
        <f>SUM(OSRRefP22_9x_0)</f>
        <v>280.2</v>
      </c>
      <c r="Q56" s="2"/>
      <c r="R56" s="6">
        <f t="shared" si="4"/>
        <v>8.0866267626364364E-4</v>
      </c>
      <c r="S56" s="2"/>
      <c r="T56" s="2">
        <f>SUM(OSRRefT22_9x_0)</f>
        <v>1624.83</v>
      </c>
      <c r="U56" s="2"/>
      <c r="V56" s="6">
        <f t="shared" si="5"/>
        <v>4.1422904546543817E-3</v>
      </c>
      <c r="W56" s="2"/>
      <c r="X56" s="2">
        <f t="shared" si="6"/>
        <v>-1344.6299999999999</v>
      </c>
      <c r="Y56" s="2"/>
      <c r="Z56" s="6">
        <f t="shared" si="7"/>
        <v>-0.82755118997064303</v>
      </c>
    </row>
    <row r="57" spans="1:26" s="69" customFormat="1" ht="15" hidden="1" customHeight="1" outlineLevel="2" x14ac:dyDescent="0.3">
      <c r="A57" s="26"/>
      <c r="B57" s="12" t="str">
        <f>CONCATENATE("          ","6309"," - ","TELEPHONE")</f>
        <v xml:space="preserve">          6309 - TELEPHONE</v>
      </c>
      <c r="C57" s="12"/>
      <c r="D57" s="8">
        <v>87.2</v>
      </c>
      <c r="E57" s="3"/>
      <c r="F57" s="7">
        <f t="shared" si="0"/>
        <v>2.5025111206772852E-3</v>
      </c>
      <c r="G57" s="3"/>
      <c r="H57" s="8">
        <v>86.45</v>
      </c>
      <c r="I57" s="3"/>
      <c r="J57" s="7">
        <f t="shared" si="1"/>
        <v>3.8255597840516861E-3</v>
      </c>
      <c r="K57" s="3"/>
      <c r="L57" s="8">
        <f t="shared" si="2"/>
        <v>0.75</v>
      </c>
      <c r="M57" s="3"/>
      <c r="N57" s="7">
        <f t="shared" si="3"/>
        <v>8.6755349913244639E-3</v>
      </c>
      <c r="O57" s="12"/>
      <c r="P57" s="8">
        <v>280.2</v>
      </c>
      <c r="Q57" s="3"/>
      <c r="R57" s="7">
        <f t="shared" si="4"/>
        <v>8.0866267626364364E-4</v>
      </c>
      <c r="S57" s="3"/>
      <c r="T57" s="8">
        <v>1624.83</v>
      </c>
      <c r="U57" s="3"/>
      <c r="V57" s="7">
        <f t="shared" si="5"/>
        <v>4.1422904546543817E-3</v>
      </c>
      <c r="W57" s="3"/>
      <c r="X57" s="8">
        <f t="shared" si="6"/>
        <v>-1344.6299999999999</v>
      </c>
      <c r="Y57" s="3"/>
      <c r="Z57" s="7">
        <f t="shared" si="7"/>
        <v>-0.82755118997064303</v>
      </c>
    </row>
    <row r="58" spans="1:26" s="68" customFormat="1" ht="15" customHeight="1" outlineLevel="1" collapsed="1" x14ac:dyDescent="0.3">
      <c r="A58" s="25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5.7720390882487057E-3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5.7720390882487057E-3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7" t="s">
        <v>290</v>
      </c>
      <c r="C61" s="11"/>
      <c r="D61" s="5">
        <f>SUM(OSRRefD25x_0)</f>
        <v>1802.51</v>
      </c>
      <c r="E61" s="5"/>
      <c r="F61" s="13">
        <f>IF(D$12=0,0,D61/D$12)</f>
        <v>5.1729372937293731E-2</v>
      </c>
      <c r="G61" s="5"/>
      <c r="H61" s="5">
        <f>SUM(OSRRefH25x_0)</f>
        <v>231.48</v>
      </c>
      <c r="I61" s="5"/>
      <c r="J61" s="13">
        <f>IF(H$12=0,0,H61/H$12)</f>
        <v>1.0243384370298257E-2</v>
      </c>
      <c r="K61" s="5"/>
      <c r="L61" s="5">
        <f>+D61-H61</f>
        <v>1571.03</v>
      </c>
      <c r="M61" s="5"/>
      <c r="N61" s="13">
        <f>IF(H61=0,0,L61/H61)</f>
        <v>6.7868930361154316</v>
      </c>
      <c r="O61" s="11"/>
      <c r="P61" s="5">
        <f>SUM(OSRRefP25x_0)</f>
        <v>8041.05</v>
      </c>
      <c r="Q61" s="5"/>
      <c r="R61" s="13">
        <f>IF(P$12=0,0,P61/P$12)</f>
        <v>2.3206627455281129E-2</v>
      </c>
      <c r="S61" s="5"/>
      <c r="T61" s="5">
        <f>SUM(OSRRefT25x_0)</f>
        <v>1728.68</v>
      </c>
      <c r="U61" s="5"/>
      <c r="V61" s="13">
        <f>IF(T$12=0,0,T61/T$12)</f>
        <v>4.4070423756035629E-3</v>
      </c>
      <c r="W61" s="5"/>
      <c r="X61" s="5">
        <f>+P61-T61</f>
        <v>6312.37</v>
      </c>
      <c r="Y61" s="5"/>
      <c r="Z61" s="13">
        <f>IF(T61=0,0,X61/T61)</f>
        <v>3.6515549436564312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--1802.51</f>
        <v>1802.51</v>
      </c>
      <c r="E62" s="3"/>
      <c r="F62" s="20">
        <f>IF(D$12=0,0,D62/D$12)</f>
        <v>5.1729372937293731E-2</v>
      </c>
      <c r="G62" s="3"/>
      <c r="H62" s="3">
        <f>--231.48</f>
        <v>231.48</v>
      </c>
      <c r="I62" s="3"/>
      <c r="J62" s="20">
        <f>IF(H$12=0,0,H62/H$12)</f>
        <v>1.0243384370298257E-2</v>
      </c>
      <c r="K62" s="3"/>
      <c r="L62" s="3">
        <f>+D62-H62</f>
        <v>1571.03</v>
      </c>
      <c r="M62" s="3"/>
      <c r="N62" s="20">
        <f>IF(H62=0,0,L62/H62)</f>
        <v>6.7868930361154316</v>
      </c>
      <c r="O62" s="12"/>
      <c r="P62" s="3">
        <f>--8041.05</f>
        <v>8041.05</v>
      </c>
      <c r="Q62" s="3"/>
      <c r="R62" s="20">
        <f>IF(P$12=0,0,P62/P$12)</f>
        <v>2.3206627455281129E-2</v>
      </c>
      <c r="S62" s="3"/>
      <c r="T62" s="3">
        <f>--1728.68</f>
        <v>1728.68</v>
      </c>
      <c r="U62" s="3"/>
      <c r="V62" s="20">
        <f>IF(T$12=0,0,T62/T$12)</f>
        <v>4.4070423756035629E-3</v>
      </c>
      <c r="W62" s="3"/>
      <c r="X62" s="3">
        <f>+P62-T62</f>
        <v>6312.37</v>
      </c>
      <c r="Y62" s="3"/>
      <c r="Z62" s="20">
        <f>IF(T62=0,0,X62/T62)</f>
        <v>3.6515549436564312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8" t="s">
        <v>291</v>
      </c>
      <c r="C64" s="28"/>
      <c r="D64" s="23">
        <f>+D17-D19+D61</f>
        <v>6399.9599999999973</v>
      </c>
      <c r="E64" s="15"/>
      <c r="F64" s="22">
        <f>IF(D$12=0,0,D64/D$12)</f>
        <v>0.18366939302625906</v>
      </c>
      <c r="G64" s="15"/>
      <c r="H64" s="23">
        <f>+H17-H19+H61</f>
        <v>4995.0099999999984</v>
      </c>
      <c r="I64" s="15"/>
      <c r="J64" s="22">
        <f>IF(H$12=0,0,H64/H$12)</f>
        <v>0.2210377024515443</v>
      </c>
      <c r="K64" s="17"/>
      <c r="L64" s="23">
        <f>+D64-H64</f>
        <v>1404.9499999999989</v>
      </c>
      <c r="M64" s="17"/>
      <c r="N64" s="22">
        <f>IF(H64=0,0,L64/H64)</f>
        <v>0.28127070816675032</v>
      </c>
      <c r="O64" s="27"/>
      <c r="P64" s="23">
        <f>+P17-P19+P61</f>
        <v>41253.190000000017</v>
      </c>
      <c r="Q64" s="15"/>
      <c r="R64" s="22">
        <f>IF(P$12=0,0,P64/P$12)</f>
        <v>0.11905751259747537</v>
      </c>
      <c r="S64" s="15"/>
      <c r="T64" s="23">
        <f>+T17-T19+T61</f>
        <v>67101.919999999984</v>
      </c>
      <c r="U64" s="15"/>
      <c r="V64" s="22">
        <f>IF(T$12=0,0,T64/T$12)</f>
        <v>0.17106752257465821</v>
      </c>
      <c r="W64" s="17"/>
      <c r="X64" s="23">
        <f>+P64-T64</f>
        <v>-25848.729999999967</v>
      </c>
      <c r="Y64" s="17"/>
      <c r="Z64" s="22">
        <f>IF(T64=0,0,X64/T64)</f>
        <v>-0.38521595209198145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1998.13</v>
      </c>
      <c r="E66" s="5"/>
      <c r="F66" s="13">
        <f>IF(D$12=0,0,D66/D$12)</f>
        <v>5.7343377816042478E-2</v>
      </c>
      <c r="G66" s="5"/>
      <c r="H66" s="5">
        <v>10577.98</v>
      </c>
      <c r="I66" s="5"/>
      <c r="J66" s="13">
        <f>IF(H$12=0,0,H66/H$12)</f>
        <v>0.4680936366050093</v>
      </c>
      <c r="K66" s="5"/>
      <c r="L66" s="5">
        <f>+D66-H66</f>
        <v>-8579.8499999999985</v>
      </c>
      <c r="M66" s="5"/>
      <c r="N66" s="13">
        <f>IF(H66=0,0,L66/H66)</f>
        <v>-0.8111047666945862</v>
      </c>
      <c r="O66" s="11"/>
      <c r="P66" s="5">
        <v>43250.82</v>
      </c>
      <c r="Q66" s="5"/>
      <c r="R66" s="13">
        <f>IF(P$12=0,0,P66/P$12)</f>
        <v>0.12482271181940444</v>
      </c>
      <c r="S66" s="5"/>
      <c r="T66" s="5">
        <v>77680.320000000007</v>
      </c>
      <c r="U66" s="5"/>
      <c r="V66" s="13">
        <f>IF(T$12=0,0,T66/T$12)</f>
        <v>0.19803576254161845</v>
      </c>
      <c r="W66" s="5"/>
      <c r="X66" s="5">
        <f>+P66-T66</f>
        <v>-34429.500000000007</v>
      </c>
      <c r="Y66" s="5"/>
      <c r="Z66" s="13">
        <f>IF(T66=0,0,X66/T66)</f>
        <v>-0.44322036778427282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293</v>
      </c>
      <c r="C68" s="28"/>
      <c r="D68" s="33">
        <f>+D64-D66</f>
        <v>4401.8299999999972</v>
      </c>
      <c r="E68" s="15"/>
      <c r="F68" s="34">
        <f>IF(D$12=0,0,D68/D$12)</f>
        <v>0.12632601521021658</v>
      </c>
      <c r="G68" s="15"/>
      <c r="H68" s="33">
        <f>+H64-H66</f>
        <v>-5582.9700000000012</v>
      </c>
      <c r="I68" s="15"/>
      <c r="J68" s="34">
        <f>IF(H$12=0,0,H68/H$12)</f>
        <v>-0.24705593415346497</v>
      </c>
      <c r="K68" s="17"/>
      <c r="L68" s="33">
        <f>D68-H68</f>
        <v>9984.7999999999993</v>
      </c>
      <c r="M68" s="17"/>
      <c r="N68" s="34">
        <f>IF(H68=0,0,L68/H68)</f>
        <v>-1.7884387700453337</v>
      </c>
      <c r="O68" s="27"/>
      <c r="P68" s="33">
        <f>+P64-P66</f>
        <v>-1997.6299999999828</v>
      </c>
      <c r="Q68" s="15"/>
      <c r="R68" s="34">
        <f>IF(P$12=0,0,P68/P$12)</f>
        <v>-5.7651992219290814E-3</v>
      </c>
      <c r="S68" s="15"/>
      <c r="T68" s="33">
        <f>+T64-T66</f>
        <v>-10578.400000000023</v>
      </c>
      <c r="U68" s="15"/>
      <c r="V68" s="34">
        <f>IF(T$12=0,0,T68/T$12)</f>
        <v>-2.6968239966960243E-2</v>
      </c>
      <c r="W68" s="17"/>
      <c r="X68" s="33">
        <f>P68-T68</f>
        <v>8580.7700000000405</v>
      </c>
      <c r="Y68" s="17"/>
      <c r="Z68" s="34">
        <f>IF(T68=0,0,X68/T68)</f>
        <v>-0.81115953263253626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8" t="s">
        <v>296</v>
      </c>
      <c r="C71" s="28"/>
      <c r="D71" s="35">
        <f>SUM(D68:D70)</f>
        <v>4401.8299999999972</v>
      </c>
      <c r="E71" s="15"/>
      <c r="F71" s="29">
        <f>IF(D$12=0,0,D71/D$12)</f>
        <v>0.12632601521021658</v>
      </c>
      <c r="G71" s="15"/>
      <c r="H71" s="35">
        <f>SUM(H68:H70)</f>
        <v>-5582.9700000000012</v>
      </c>
      <c r="I71" s="15"/>
      <c r="J71" s="29">
        <f>IF(H$12=0,0,H71/H$12)</f>
        <v>-0.24705593415346497</v>
      </c>
      <c r="K71" s="17"/>
      <c r="L71" s="35">
        <f>+D71-H71</f>
        <v>9984.7999999999993</v>
      </c>
      <c r="M71" s="17"/>
      <c r="N71" s="29">
        <f>IF(H71=0,0,L71/H71)</f>
        <v>-1.7884387700453337</v>
      </c>
      <c r="O71" s="27"/>
      <c r="P71" s="35">
        <f>SUM(P68:P70)</f>
        <v>-1997.6299999999828</v>
      </c>
      <c r="Q71" s="15"/>
      <c r="R71" s="29">
        <f>IF(P$12=0,0,P71/P$12)</f>
        <v>-5.7651992219290814E-3</v>
      </c>
      <c r="S71" s="15"/>
      <c r="T71" s="35">
        <f>SUM(T68:T70)</f>
        <v>-10578.400000000023</v>
      </c>
      <c r="U71" s="15"/>
      <c r="V71" s="29">
        <f>IF(T$12=0,0,T71/T$12)</f>
        <v>-2.6968239966960243E-2</v>
      </c>
      <c r="W71" s="17"/>
      <c r="X71" s="35">
        <f>+P71-T71</f>
        <v>8580.7700000000405</v>
      </c>
      <c r="Y71" s="17"/>
      <c r="Z71" s="29">
        <f>IF(T71=0,0,X71/T71)</f>
        <v>-0.81115953263253626</v>
      </c>
    </row>
    <row r="72" spans="1:26" ht="15" customHeight="1" x14ac:dyDescent="0.3">
      <c r="A72" s="10"/>
      <c r="C72" s="10"/>
      <c r="D72" s="18"/>
      <c r="E72" s="18"/>
      <c r="G72" s="18"/>
      <c r="H72" s="18"/>
      <c r="I72" s="18"/>
      <c r="J72" s="41"/>
      <c r="K72" s="18"/>
      <c r="L72" s="18"/>
      <c r="M72" s="18"/>
      <c r="P72" s="18"/>
      <c r="Q72" s="18"/>
      <c r="R72" s="41"/>
      <c r="S72" s="18"/>
      <c r="T72" s="18"/>
      <c r="U72" s="18"/>
      <c r="V72" s="41"/>
      <c r="W72" s="18"/>
      <c r="X72" s="18"/>
    </row>
    <row r="73" spans="1:26" ht="15" customHeight="1" x14ac:dyDescent="0.3">
      <c r="A73" s="10"/>
      <c r="B73" s="50">
        <v>44634.887771215275</v>
      </c>
      <c r="D73" s="18"/>
      <c r="E73" s="18"/>
      <c r="G73" s="18"/>
      <c r="H73" s="18"/>
      <c r="I73" s="18"/>
      <c r="J73" s="41"/>
      <c r="K73" s="18"/>
      <c r="L73" s="18"/>
      <c r="M73" s="18"/>
      <c r="P73" s="18"/>
      <c r="Q73" s="18"/>
      <c r="R73" s="41"/>
      <c r="S73" s="18"/>
      <c r="T73" s="18"/>
      <c r="U73" s="18"/>
      <c r="V73" s="41"/>
      <c r="W73" s="18"/>
      <c r="X73" s="18"/>
    </row>
    <row r="74" spans="1:26" ht="15" customHeight="1" x14ac:dyDescent="0.3">
      <c r="A74" s="10"/>
      <c r="B74" s="58" t="s">
        <v>297</v>
      </c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  <row r="75" spans="1:26" ht="15" customHeight="1" x14ac:dyDescent="0.3">
      <c r="A75" s="10"/>
      <c r="B75" s="56"/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3"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C40B3-6C03-939E-7C56-199FC53B8FF2}">
  <sheetPr>
    <tabColor rgb="FF92D05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str">
        <f>CONCATENATE("Period ",RIGHT(202208,2),", ",2022)</f>
        <v>Period 08, 2022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59">
        <v>44618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str">
        <f>CONCATENATE("Department ","501"," - ","ID Card Services")</f>
        <v>Department 501 - ID Card Services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34845</v>
      </c>
      <c r="E12" s="5"/>
      <c r="F12" s="13"/>
      <c r="G12" s="5"/>
      <c r="H12" s="5">
        <f>SUM(OSRRefH13x_0)</f>
        <v>22598</v>
      </c>
      <c r="I12" s="5"/>
      <c r="J12" s="13"/>
      <c r="K12" s="5"/>
      <c r="L12" s="5">
        <f>+D12-H12</f>
        <v>12247</v>
      </c>
      <c r="M12" s="5"/>
      <c r="N12" s="13">
        <f>IF(H12=0,0,L12/H12)</f>
        <v>0.54195061509868125</v>
      </c>
      <c r="O12" s="11"/>
      <c r="P12" s="5">
        <f>SUM(OSRRefP13x_0)</f>
        <v>346498</v>
      </c>
      <c r="Q12" s="5"/>
      <c r="R12" s="13"/>
      <c r="S12" s="5"/>
      <c r="T12" s="5">
        <f>SUM(OSRRefT13x_0)</f>
        <v>392254</v>
      </c>
      <c r="U12" s="5"/>
      <c r="V12" s="13"/>
      <c r="W12" s="5"/>
      <c r="X12" s="5">
        <f>+P12-T12</f>
        <v>-45756</v>
      </c>
      <c r="Y12" s="5"/>
      <c r="Z12" s="13">
        <f>IF(T12=0,0,X12/T12)</f>
        <v>-0.11664890606596746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--34845</f>
        <v>34845</v>
      </c>
      <c r="E13" s="3"/>
      <c r="F13" s="20"/>
      <c r="G13" s="3"/>
      <c r="H13" s="3">
        <f>--22598</f>
        <v>22598</v>
      </c>
      <c r="I13" s="3"/>
      <c r="J13" s="20"/>
      <c r="K13" s="3"/>
      <c r="L13" s="3">
        <f>+D13-H13</f>
        <v>12247</v>
      </c>
      <c r="M13" s="3"/>
      <c r="N13" s="20">
        <f>IF(H13=0,0,L13/H13)</f>
        <v>0.54195061509868125</v>
      </c>
      <c r="O13" s="12"/>
      <c r="P13" s="3">
        <f>--346498</f>
        <v>346498</v>
      </c>
      <c r="Q13" s="3"/>
      <c r="R13" s="20"/>
      <c r="S13" s="3"/>
      <c r="T13" s="3">
        <f>--392254</f>
        <v>392254</v>
      </c>
      <c r="U13" s="3"/>
      <c r="V13" s="20"/>
      <c r="W13" s="3"/>
      <c r="X13" s="3">
        <f>+P13-T13</f>
        <v>-45756</v>
      </c>
      <c r="Y13" s="3"/>
      <c r="Z13" s="20">
        <f>IF(T13=0,0,X13/T13)</f>
        <v>-0.11664890606596746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7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3">
        <f>D12-D15</f>
        <v>34845</v>
      </c>
      <c r="E17" s="15"/>
      <c r="F17" s="22">
        <f>IF(D$12=0,0,D17/D$12)</f>
        <v>1</v>
      </c>
      <c r="G17" s="15"/>
      <c r="H17" s="23">
        <f>H12-H15</f>
        <v>22598</v>
      </c>
      <c r="I17" s="15"/>
      <c r="J17" s="22">
        <f>IF(H$12=0,0,H17/H$12)</f>
        <v>1</v>
      </c>
      <c r="K17" s="17"/>
      <c r="L17" s="23">
        <f>+D17-H17</f>
        <v>12247</v>
      </c>
      <c r="M17" s="17"/>
      <c r="N17" s="22">
        <f>IF(H17=0,0,L17/H17)</f>
        <v>0.54195061509868125</v>
      </c>
      <c r="O17" s="27"/>
      <c r="P17" s="23">
        <f>P12-P15</f>
        <v>346498</v>
      </c>
      <c r="Q17" s="15"/>
      <c r="R17" s="22">
        <f>IF(P$12=0,0,P17/P$12)</f>
        <v>1</v>
      </c>
      <c r="S17" s="15"/>
      <c r="T17" s="23">
        <f>T12-T15</f>
        <v>392254</v>
      </c>
      <c r="U17" s="15"/>
      <c r="V17" s="22">
        <f>IF(T$12=0,0,T17/T$12)</f>
        <v>1</v>
      </c>
      <c r="W17" s="17"/>
      <c r="X17" s="23">
        <f>+P17-T17</f>
        <v>-45756</v>
      </c>
      <c r="Y17" s="17"/>
      <c r="Z17" s="22">
        <f>IF(T17=0,0,X17/T17)</f>
        <v>-0.11664890606596746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1" cm="1">
        <f t="array" ref="D19">SUM(OSRRefD22x_0)</f>
        <v>30247.550000000003</v>
      </c>
      <c r="E19" s="21"/>
      <c r="F19" s="30">
        <f t="shared" ref="F19:F59" si="0">IF(D$12=0,0,D19/D$12)</f>
        <v>0.86805997991103467</v>
      </c>
      <c r="G19" s="21"/>
      <c r="H19" s="21" cm="1">
        <f t="array" ref="H19">SUM(OSRRefH22x_0)</f>
        <v>17834.47</v>
      </c>
      <c r="I19" s="21"/>
      <c r="J19" s="30">
        <f t="shared" ref="J19:J59" si="1">IF(H$12=0,0,H19/H$12)</f>
        <v>0.78920568191875395</v>
      </c>
      <c r="K19" s="5"/>
      <c r="L19" s="21">
        <f t="shared" ref="L19:L59" si="2">+D19-H19</f>
        <v>12413.080000000002</v>
      </c>
      <c r="M19" s="5"/>
      <c r="N19" s="30">
        <f t="shared" ref="N19:N59" si="3">IF(H19=0,0,L19/H19)</f>
        <v>0.69601619784608126</v>
      </c>
      <c r="O19" s="11"/>
      <c r="P19" s="21" cm="1">
        <f t="array" ref="P19">SUM(OSRRefP22x_0)</f>
        <v>313285.86</v>
      </c>
      <c r="Q19" s="21"/>
      <c r="R19" s="30">
        <f t="shared" ref="R19:R59" si="4">IF(P$12=0,0,P19/P$12)</f>
        <v>0.9041491148578058</v>
      </c>
      <c r="S19" s="21"/>
      <c r="T19" s="21" cm="1">
        <f t="array" ref="T19">SUM(OSRRefT22x_0)</f>
        <v>326880.76</v>
      </c>
      <c r="U19" s="21"/>
      <c r="V19" s="30">
        <f t="shared" ref="V19:V59" si="5">IF(T$12=0,0,T19/T$12)</f>
        <v>0.83333951980094534</v>
      </c>
      <c r="W19" s="5"/>
      <c r="X19" s="21">
        <f t="shared" ref="X19:X59" si="6">+P19-T19</f>
        <v>-13594.900000000023</v>
      </c>
      <c r="Y19" s="5"/>
      <c r="Z19" s="30">
        <f t="shared" ref="Z19:Z59" si="7">IF(T19=0,0,X19/T19)</f>
        <v>-4.1589783381560982E-2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5605.2200000000012</v>
      </c>
      <c r="E20" s="2"/>
      <c r="F20" s="6">
        <f t="shared" si="0"/>
        <v>0.16086152963122402</v>
      </c>
      <c r="G20" s="2"/>
      <c r="H20" s="2">
        <f>SUM(OSRRefH22_0x_0)</f>
        <v>3867.33</v>
      </c>
      <c r="I20" s="2"/>
      <c r="J20" s="6">
        <f t="shared" si="1"/>
        <v>0.17113594123373749</v>
      </c>
      <c r="K20" s="2"/>
      <c r="L20" s="2">
        <f t="shared" si="2"/>
        <v>1737.8900000000012</v>
      </c>
      <c r="M20" s="2"/>
      <c r="N20" s="6">
        <f t="shared" si="3"/>
        <v>0.44937721890813592</v>
      </c>
      <c r="O20" s="14"/>
      <c r="P20" s="2">
        <f>SUM(OSRRefP22_0x_0)</f>
        <v>33614.540000000008</v>
      </c>
      <c r="Q20" s="2"/>
      <c r="R20" s="6">
        <f t="shared" si="4"/>
        <v>9.7012219406749853E-2</v>
      </c>
      <c r="S20" s="2"/>
      <c r="T20" s="2">
        <f>SUM(OSRRefT22_0x_0)</f>
        <v>33760.22</v>
      </c>
      <c r="U20" s="2"/>
      <c r="V20" s="6">
        <f t="shared" si="5"/>
        <v>8.6067242144120898E-2</v>
      </c>
      <c r="W20" s="2"/>
      <c r="X20" s="2">
        <f t="shared" si="6"/>
        <v>-145.67999999999302</v>
      </c>
      <c r="Y20" s="2"/>
      <c r="Z20" s="6">
        <f t="shared" si="7"/>
        <v>-4.3151377568035106E-3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912.86</v>
      </c>
      <c r="E21" s="3"/>
      <c r="F21" s="7">
        <f t="shared" si="0"/>
        <v>2.6197732816759939E-2</v>
      </c>
      <c r="G21" s="3"/>
      <c r="H21" s="8">
        <v>996.29</v>
      </c>
      <c r="I21" s="3"/>
      <c r="J21" s="7">
        <f t="shared" si="1"/>
        <v>4.4087529869899993E-2</v>
      </c>
      <c r="K21" s="3"/>
      <c r="L21" s="8">
        <f t="shared" si="2"/>
        <v>-83.42999999999995</v>
      </c>
      <c r="M21" s="3"/>
      <c r="N21" s="7">
        <f t="shared" si="3"/>
        <v>-8.3740677915064843E-2</v>
      </c>
      <c r="O21" s="12"/>
      <c r="P21" s="8">
        <v>8379.06</v>
      </c>
      <c r="Q21" s="3"/>
      <c r="R21" s="7">
        <f t="shared" si="4"/>
        <v>2.4182130921390599E-2</v>
      </c>
      <c r="S21" s="3"/>
      <c r="T21" s="8">
        <v>8117.07</v>
      </c>
      <c r="U21" s="3"/>
      <c r="V21" s="7">
        <f t="shared" si="5"/>
        <v>2.0693402744140277E-2</v>
      </c>
      <c r="W21" s="3"/>
      <c r="X21" s="8">
        <f t="shared" si="6"/>
        <v>261.98999999999978</v>
      </c>
      <c r="Y21" s="3"/>
      <c r="Z21" s="7">
        <f t="shared" si="7"/>
        <v>3.2276424867593821E-2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174.33</v>
      </c>
      <c r="E22" s="3"/>
      <c r="F22" s="7">
        <f t="shared" si="0"/>
        <v>5.0030133448127423E-3</v>
      </c>
      <c r="G22" s="3"/>
      <c r="H22" s="8">
        <v>80.06</v>
      </c>
      <c r="I22" s="3"/>
      <c r="J22" s="7">
        <f t="shared" si="1"/>
        <v>3.5427913974688027E-3</v>
      </c>
      <c r="K22" s="3"/>
      <c r="L22" s="8">
        <f t="shared" si="2"/>
        <v>94.27000000000001</v>
      </c>
      <c r="M22" s="3"/>
      <c r="N22" s="7">
        <f t="shared" si="3"/>
        <v>1.1774918810891832</v>
      </c>
      <c r="O22" s="12"/>
      <c r="P22" s="8">
        <v>1337.41</v>
      </c>
      <c r="Q22" s="3"/>
      <c r="R22" s="7">
        <f t="shared" si="4"/>
        <v>3.8597913985073508E-3</v>
      </c>
      <c r="S22" s="3"/>
      <c r="T22" s="8">
        <v>733.88</v>
      </c>
      <c r="U22" s="3"/>
      <c r="V22" s="7">
        <f t="shared" si="5"/>
        <v>1.8709305704976878E-3</v>
      </c>
      <c r="W22" s="3"/>
      <c r="X22" s="8">
        <f t="shared" si="6"/>
        <v>603.53000000000009</v>
      </c>
      <c r="Y22" s="3"/>
      <c r="Z22" s="7">
        <f t="shared" si="7"/>
        <v>0.82238240584291722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2.7685464198593773E-2</v>
      </c>
      <c r="G23" s="3"/>
      <c r="H23" s="8">
        <v>1207.95</v>
      </c>
      <c r="I23" s="3"/>
      <c r="J23" s="7">
        <f t="shared" si="1"/>
        <v>5.3453845473050716E-2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8255.5</v>
      </c>
      <c r="Q23" s="3"/>
      <c r="R23" s="7">
        <f t="shared" si="4"/>
        <v>2.3825534346518594E-2</v>
      </c>
      <c r="S23" s="3"/>
      <c r="T23" s="8">
        <v>9818.9</v>
      </c>
      <c r="U23" s="3"/>
      <c r="V23" s="7">
        <f t="shared" si="5"/>
        <v>2.5031994574943785E-2</v>
      </c>
      <c r="W23" s="3"/>
      <c r="X23" s="8">
        <f t="shared" si="6"/>
        <v>-1563.3999999999996</v>
      </c>
      <c r="Y23" s="3"/>
      <c r="Z23" s="7">
        <f t="shared" si="7"/>
        <v>-0.1592235382782185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34.5</v>
      </c>
      <c r="E24" s="3"/>
      <c r="F24" s="7">
        <f t="shared" si="0"/>
        <v>9.9009900990099011E-4</v>
      </c>
      <c r="G24" s="3"/>
      <c r="H24" s="8">
        <v>35.479999999999997</v>
      </c>
      <c r="I24" s="3"/>
      <c r="J24" s="7">
        <f t="shared" si="1"/>
        <v>1.5700504469422071E-3</v>
      </c>
      <c r="K24" s="3"/>
      <c r="L24" s="8">
        <f t="shared" si="2"/>
        <v>-0.97999999999999687</v>
      </c>
      <c r="M24" s="3"/>
      <c r="N24" s="7">
        <f t="shared" si="3"/>
        <v>-2.7621195039458764E-2</v>
      </c>
      <c r="O24" s="12"/>
      <c r="P24" s="8">
        <v>264.56</v>
      </c>
      <c r="Q24" s="3"/>
      <c r="R24" s="7">
        <f t="shared" si="4"/>
        <v>7.635253305935388E-4</v>
      </c>
      <c r="S24" s="3"/>
      <c r="T24" s="8">
        <v>320.04000000000002</v>
      </c>
      <c r="U24" s="3"/>
      <c r="V24" s="7">
        <f t="shared" si="5"/>
        <v>8.1589990159437514E-4</v>
      </c>
      <c r="W24" s="3"/>
      <c r="X24" s="8">
        <f t="shared" si="6"/>
        <v>-55.480000000000018</v>
      </c>
      <c r="Y24" s="3"/>
      <c r="Z24" s="7">
        <f t="shared" si="7"/>
        <v>-0.17335333083364585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1.8099870856650883E-2</v>
      </c>
      <c r="G25" s="3"/>
      <c r="H25" s="8">
        <v>640.35</v>
      </c>
      <c r="I25" s="3"/>
      <c r="J25" s="7">
        <f t="shared" si="1"/>
        <v>2.8336578458270645E-2</v>
      </c>
      <c r="K25" s="3"/>
      <c r="L25" s="8">
        <f t="shared" si="2"/>
        <v>-9.6599999999999682</v>
      </c>
      <c r="M25" s="3"/>
      <c r="N25" s="7">
        <f t="shared" si="3"/>
        <v>-1.5085500117123398E-2</v>
      </c>
      <c r="O25" s="12"/>
      <c r="P25" s="8">
        <v>5100.42</v>
      </c>
      <c r="Q25" s="3"/>
      <c r="R25" s="7">
        <f t="shared" si="4"/>
        <v>1.4719911803242731E-2</v>
      </c>
      <c r="S25" s="3"/>
      <c r="T25" s="8">
        <v>6420.58</v>
      </c>
      <c r="U25" s="3"/>
      <c r="V25" s="7">
        <f t="shared" si="5"/>
        <v>1.6368424541241135E-2</v>
      </c>
      <c r="W25" s="3"/>
      <c r="X25" s="8">
        <f t="shared" si="6"/>
        <v>-1320.1599999999999</v>
      </c>
      <c r="Y25" s="3"/>
      <c r="Z25" s="7">
        <f t="shared" si="7"/>
        <v>-0.205613823050254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/>
      <c r="E26" s="3"/>
      <c r="F26" s="7">
        <f t="shared" si="0"/>
        <v>0</v>
      </c>
      <c r="G26" s="3"/>
      <c r="H26" s="8">
        <v>87.92</v>
      </c>
      <c r="I26" s="3"/>
      <c r="J26" s="7">
        <f t="shared" si="1"/>
        <v>3.8906097884768565E-3</v>
      </c>
      <c r="K26" s="3"/>
      <c r="L26" s="8">
        <f t="shared" si="2"/>
        <v>-87.92</v>
      </c>
      <c r="M26" s="3"/>
      <c r="N26" s="7">
        <f t="shared" si="3"/>
        <v>-1</v>
      </c>
      <c r="O26" s="12"/>
      <c r="P26" s="8">
        <v>215.15</v>
      </c>
      <c r="Q26" s="3"/>
      <c r="R26" s="7">
        <f t="shared" si="4"/>
        <v>6.2092710491835456E-4</v>
      </c>
      <c r="S26" s="3"/>
      <c r="T26" s="8">
        <v>697.86</v>
      </c>
      <c r="U26" s="3"/>
      <c r="V26" s="7">
        <f t="shared" si="5"/>
        <v>1.7791023163562386E-3</v>
      </c>
      <c r="W26" s="3"/>
      <c r="X26" s="8">
        <f t="shared" si="6"/>
        <v>-482.71000000000004</v>
      </c>
      <c r="Y26" s="3"/>
      <c r="Z26" s="7">
        <f t="shared" si="7"/>
        <v>-0.69170034104261602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1219.74</v>
      </c>
      <c r="E27" s="3"/>
      <c r="F27" s="7">
        <f t="shared" si="0"/>
        <v>3.500473525613431E-2</v>
      </c>
      <c r="G27" s="3"/>
      <c r="H27" s="8">
        <v>520.02</v>
      </c>
      <c r="I27" s="3"/>
      <c r="J27" s="7">
        <f t="shared" si="1"/>
        <v>2.3011770953181698E-2</v>
      </c>
      <c r="K27" s="3"/>
      <c r="L27" s="8">
        <f t="shared" si="2"/>
        <v>699.72</v>
      </c>
      <c r="M27" s="3"/>
      <c r="N27" s="7">
        <f t="shared" si="3"/>
        <v>1.3455636321679936</v>
      </c>
      <c r="O27" s="12"/>
      <c r="P27" s="8">
        <v>5351.39</v>
      </c>
      <c r="Q27" s="3"/>
      <c r="R27" s="7">
        <f t="shared" si="4"/>
        <v>1.5444216128231622E-2</v>
      </c>
      <c r="S27" s="3"/>
      <c r="T27" s="8">
        <v>4420.17</v>
      </c>
      <c r="U27" s="3"/>
      <c r="V27" s="7">
        <f t="shared" si="5"/>
        <v>1.1268642257312864E-2</v>
      </c>
      <c r="W27" s="3"/>
      <c r="X27" s="8">
        <f t="shared" si="6"/>
        <v>931.22000000000025</v>
      </c>
      <c r="Y27" s="3"/>
      <c r="Z27" s="7">
        <f t="shared" si="7"/>
        <v>0.2106751550279741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1594.65</v>
      </c>
      <c r="E28" s="3"/>
      <c r="F28" s="7">
        <f t="shared" si="0"/>
        <v>4.5764098148945331E-2</v>
      </c>
      <c r="G28" s="3"/>
      <c r="H28" s="8">
        <v>299.26</v>
      </c>
      <c r="I28" s="3"/>
      <c r="J28" s="7">
        <f t="shared" si="1"/>
        <v>1.3242764846446587E-2</v>
      </c>
      <c r="K28" s="3"/>
      <c r="L28" s="8">
        <f t="shared" si="2"/>
        <v>1295.3900000000001</v>
      </c>
      <c r="M28" s="3"/>
      <c r="N28" s="7">
        <f t="shared" si="3"/>
        <v>4.3286439885049797</v>
      </c>
      <c r="O28" s="12"/>
      <c r="P28" s="8">
        <v>4208.55</v>
      </c>
      <c r="Q28" s="3"/>
      <c r="R28" s="7">
        <f t="shared" si="4"/>
        <v>1.2145957552424546E-2</v>
      </c>
      <c r="S28" s="3"/>
      <c r="T28" s="8">
        <v>2543.7199999999998</v>
      </c>
      <c r="U28" s="3"/>
      <c r="V28" s="7">
        <f t="shared" si="5"/>
        <v>6.4848796952994741E-3</v>
      </c>
      <c r="W28" s="3"/>
      <c r="X28" s="8">
        <f t="shared" si="6"/>
        <v>1664.8300000000004</v>
      </c>
      <c r="Y28" s="3"/>
      <c r="Z28" s="7">
        <f t="shared" si="7"/>
        <v>0.65448634283647589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73.75</v>
      </c>
      <c r="E29" s="3"/>
      <c r="F29" s="7">
        <f t="shared" si="0"/>
        <v>2.1165159994260296E-3</v>
      </c>
      <c r="G29" s="3"/>
      <c r="H29" s="8"/>
      <c r="I29" s="3"/>
      <c r="J29" s="7">
        <f t="shared" si="1"/>
        <v>0</v>
      </c>
      <c r="K29" s="3"/>
      <c r="L29" s="8">
        <f t="shared" si="2"/>
        <v>73.75</v>
      </c>
      <c r="M29" s="3"/>
      <c r="N29" s="7">
        <f t="shared" si="3"/>
        <v>0</v>
      </c>
      <c r="O29" s="12"/>
      <c r="P29" s="8">
        <v>502.5</v>
      </c>
      <c r="Q29" s="3"/>
      <c r="R29" s="7">
        <f t="shared" si="4"/>
        <v>1.4502248209224873E-3</v>
      </c>
      <c r="S29" s="3"/>
      <c r="T29" s="8">
        <v>688</v>
      </c>
      <c r="U29" s="3"/>
      <c r="V29" s="7">
        <f t="shared" si="5"/>
        <v>1.7539655427350645E-3</v>
      </c>
      <c r="W29" s="3"/>
      <c r="X29" s="8">
        <f t="shared" si="6"/>
        <v>-185.5</v>
      </c>
      <c r="Y29" s="3"/>
      <c r="Z29" s="7">
        <f t="shared" si="7"/>
        <v>-0.26962209302325579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13747.22</v>
      </c>
      <c r="E30" s="2"/>
      <c r="F30" s="6">
        <f t="shared" si="0"/>
        <v>0.39452489596785761</v>
      </c>
      <c r="G30" s="2"/>
      <c r="H30" s="2">
        <f>SUM(OSRRefH22_1x_0)</f>
        <v>13003.130000000001</v>
      </c>
      <c r="I30" s="2"/>
      <c r="J30" s="6">
        <f t="shared" si="1"/>
        <v>0.57541065581024875</v>
      </c>
      <c r="K30" s="2"/>
      <c r="L30" s="2">
        <f t="shared" si="2"/>
        <v>744.08999999999833</v>
      </c>
      <c r="M30" s="2"/>
      <c r="N30" s="6">
        <f t="shared" si="3"/>
        <v>5.7223914549804411E-2</v>
      </c>
      <c r="O30" s="14"/>
      <c r="P30" s="2">
        <f>SUM(OSRRefP22_1x_0)</f>
        <v>117059.17000000001</v>
      </c>
      <c r="Q30" s="2"/>
      <c r="R30" s="6">
        <f t="shared" si="4"/>
        <v>0.33783505243897516</v>
      </c>
      <c r="S30" s="2"/>
      <c r="T30" s="2">
        <f>SUM(OSRRefT22_1x_0)</f>
        <v>115180.55</v>
      </c>
      <c r="U30" s="2"/>
      <c r="V30" s="6">
        <f t="shared" si="5"/>
        <v>0.29363766844952505</v>
      </c>
      <c r="W30" s="2"/>
      <c r="X30" s="2">
        <f t="shared" si="6"/>
        <v>1878.6200000000099</v>
      </c>
      <c r="Y30" s="2"/>
      <c r="Z30" s="6">
        <f t="shared" si="7"/>
        <v>1.6310219043059005E-2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4426.34</v>
      </c>
      <c r="E31" s="3"/>
      <c r="F31" s="7">
        <f t="shared" si="0"/>
        <v>0.12702941598507678</v>
      </c>
      <c r="G31" s="3"/>
      <c r="H31" s="8">
        <v>4205.72</v>
      </c>
      <c r="I31" s="3"/>
      <c r="J31" s="7">
        <f t="shared" si="1"/>
        <v>0.18611027524559698</v>
      </c>
      <c r="K31" s="3"/>
      <c r="L31" s="8">
        <f t="shared" si="2"/>
        <v>220.61999999999989</v>
      </c>
      <c r="M31" s="3"/>
      <c r="N31" s="7">
        <f t="shared" si="3"/>
        <v>5.2457129813682286E-2</v>
      </c>
      <c r="O31" s="12"/>
      <c r="P31" s="8">
        <v>38117.57</v>
      </c>
      <c r="Q31" s="3"/>
      <c r="R31" s="7">
        <f t="shared" si="4"/>
        <v>0.11000805199452811</v>
      </c>
      <c r="S31" s="3"/>
      <c r="T31" s="8">
        <v>35118.33</v>
      </c>
      <c r="U31" s="3"/>
      <c r="V31" s="7">
        <f t="shared" si="5"/>
        <v>8.9529565026742877E-2</v>
      </c>
      <c r="W31" s="3"/>
      <c r="X31" s="8">
        <f t="shared" si="6"/>
        <v>2999.239999999998</v>
      </c>
      <c r="Y31" s="3"/>
      <c r="Z31" s="7">
        <f t="shared" si="7"/>
        <v>8.5403833268837034E-2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>
        <v>1700</v>
      </c>
      <c r="E32" s="3"/>
      <c r="F32" s="7">
        <f t="shared" si="0"/>
        <v>4.8787487444396614E-2</v>
      </c>
      <c r="G32" s="3"/>
      <c r="H32" s="8">
        <v>2282.3000000000002</v>
      </c>
      <c r="I32" s="3"/>
      <c r="J32" s="7">
        <f t="shared" si="1"/>
        <v>0.10099566333303833</v>
      </c>
      <c r="K32" s="3"/>
      <c r="L32" s="8">
        <f t="shared" si="2"/>
        <v>-582.30000000000018</v>
      </c>
      <c r="M32" s="3"/>
      <c r="N32" s="7">
        <f t="shared" si="3"/>
        <v>-0.25513736143364157</v>
      </c>
      <c r="O32" s="12"/>
      <c r="P32" s="8">
        <v>14952.57</v>
      </c>
      <c r="Q32" s="3"/>
      <c r="R32" s="7">
        <f t="shared" si="4"/>
        <v>4.3153409254887476E-2</v>
      </c>
      <c r="S32" s="3"/>
      <c r="T32" s="8">
        <v>18829.39</v>
      </c>
      <c r="U32" s="3"/>
      <c r="V32" s="7">
        <f t="shared" si="5"/>
        <v>4.8003054143488655E-2</v>
      </c>
      <c r="W32" s="3"/>
      <c r="X32" s="8">
        <f t="shared" si="6"/>
        <v>-3876.8199999999997</v>
      </c>
      <c r="Y32" s="3"/>
      <c r="Z32" s="7">
        <f t="shared" si="7"/>
        <v>-0.20589195932528881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1486.34</v>
      </c>
      <c r="E33" s="3"/>
      <c r="F33" s="7">
        <f t="shared" si="0"/>
        <v>4.2655761228296743E-2</v>
      </c>
      <c r="G33" s="3"/>
      <c r="H33" s="8"/>
      <c r="I33" s="3"/>
      <c r="J33" s="7">
        <f t="shared" si="1"/>
        <v>0</v>
      </c>
      <c r="K33" s="3"/>
      <c r="L33" s="8">
        <f t="shared" si="2"/>
        <v>1486.34</v>
      </c>
      <c r="M33" s="3"/>
      <c r="N33" s="7">
        <f t="shared" si="3"/>
        <v>0</v>
      </c>
      <c r="O33" s="12"/>
      <c r="P33" s="8">
        <v>10497.24</v>
      </c>
      <c r="Q33" s="3"/>
      <c r="R33" s="7">
        <f t="shared" si="4"/>
        <v>3.029523979936392E-2</v>
      </c>
      <c r="S33" s="3"/>
      <c r="T33" s="8"/>
      <c r="U33" s="3"/>
      <c r="V33" s="7">
        <f t="shared" si="5"/>
        <v>0</v>
      </c>
      <c r="W33" s="3"/>
      <c r="X33" s="8">
        <f t="shared" si="6"/>
        <v>10497.24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5369.89</v>
      </c>
      <c r="E34" s="3"/>
      <c r="F34" s="7">
        <f t="shared" si="0"/>
        <v>0.15410790644281822</v>
      </c>
      <c r="G34" s="3"/>
      <c r="H34" s="8">
        <v>6611.59</v>
      </c>
      <c r="I34" s="3"/>
      <c r="J34" s="7">
        <f t="shared" si="1"/>
        <v>0.29257412160368174</v>
      </c>
      <c r="K34" s="3"/>
      <c r="L34" s="8">
        <f t="shared" si="2"/>
        <v>-1241.6999999999998</v>
      </c>
      <c r="M34" s="3"/>
      <c r="N34" s="7">
        <f t="shared" si="3"/>
        <v>-0.18780656392789025</v>
      </c>
      <c r="O34" s="12"/>
      <c r="P34" s="8">
        <v>45635.19</v>
      </c>
      <c r="Q34" s="3"/>
      <c r="R34" s="7">
        <f t="shared" si="4"/>
        <v>0.13170405023982823</v>
      </c>
      <c r="S34" s="3"/>
      <c r="T34" s="8">
        <v>51774.17</v>
      </c>
      <c r="U34" s="3"/>
      <c r="V34" s="7">
        <f t="shared" si="5"/>
        <v>0.13199143922050507</v>
      </c>
      <c r="W34" s="3"/>
      <c r="X34" s="8">
        <f t="shared" si="6"/>
        <v>-6138.9799999999959</v>
      </c>
      <c r="Y34" s="3"/>
      <c r="Z34" s="7">
        <f t="shared" si="7"/>
        <v>-0.1185722533070061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764.65</v>
      </c>
      <c r="E35" s="3"/>
      <c r="F35" s="7">
        <f t="shared" si="0"/>
        <v>2.1944324867269334E-2</v>
      </c>
      <c r="G35" s="3"/>
      <c r="H35" s="8">
        <v>-645</v>
      </c>
      <c r="I35" s="3"/>
      <c r="J35" s="7">
        <f t="shared" si="1"/>
        <v>-2.8542348880431896E-2</v>
      </c>
      <c r="K35" s="3"/>
      <c r="L35" s="8">
        <f t="shared" si="2"/>
        <v>1409.65</v>
      </c>
      <c r="M35" s="3"/>
      <c r="N35" s="7">
        <f t="shared" si="3"/>
        <v>-2.1855038759689922</v>
      </c>
      <c r="O35" s="12"/>
      <c r="P35" s="8">
        <v>7692.38</v>
      </c>
      <c r="Q35" s="3"/>
      <c r="R35" s="7">
        <f t="shared" si="4"/>
        <v>2.2200359020831291E-2</v>
      </c>
      <c r="S35" s="3"/>
      <c r="T35" s="8">
        <v>5546.78</v>
      </c>
      <c r="U35" s="3"/>
      <c r="V35" s="7">
        <f t="shared" si="5"/>
        <v>1.4140786327226745E-2</v>
      </c>
      <c r="W35" s="3"/>
      <c r="X35" s="8">
        <f t="shared" si="6"/>
        <v>2145.6000000000004</v>
      </c>
      <c r="Y35" s="3"/>
      <c r="Z35" s="7">
        <f t="shared" si="7"/>
        <v>0.38681901932292256</v>
      </c>
    </row>
    <row r="36" spans="1:26" s="69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>
        <v>548.52</v>
      </c>
      <c r="I36" s="3"/>
      <c r="J36" s="7">
        <f t="shared" si="1"/>
        <v>2.4272944508363571E-2</v>
      </c>
      <c r="K36" s="3"/>
      <c r="L36" s="8">
        <f t="shared" si="2"/>
        <v>-548.52</v>
      </c>
      <c r="M36" s="3"/>
      <c r="N36" s="7">
        <f t="shared" si="3"/>
        <v>-1</v>
      </c>
      <c r="O36" s="12"/>
      <c r="P36" s="8">
        <v>164.22</v>
      </c>
      <c r="Q36" s="3"/>
      <c r="R36" s="7">
        <f t="shared" si="4"/>
        <v>4.7394212953610123E-4</v>
      </c>
      <c r="S36" s="3"/>
      <c r="T36" s="8">
        <v>3911.88</v>
      </c>
      <c r="U36" s="3"/>
      <c r="V36" s="7">
        <f t="shared" si="5"/>
        <v>9.9728237315616919E-3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112.46</v>
      </c>
      <c r="Q37" s="2"/>
      <c r="R37" s="6">
        <f t="shared" si="4"/>
        <v>3.245617579322247E-4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112.46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112.46</v>
      </c>
      <c r="Q38" s="3"/>
      <c r="R38" s="7">
        <f t="shared" si="4"/>
        <v>3.245617579322247E-4</v>
      </c>
      <c r="S38" s="3"/>
      <c r="T38" s="8"/>
      <c r="U38" s="3"/>
      <c r="V38" s="7">
        <f t="shared" si="5"/>
        <v>0</v>
      </c>
      <c r="W38" s="3"/>
      <c r="X38" s="8">
        <f t="shared" si="6"/>
        <v>112.46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871.71</v>
      </c>
      <c r="E39" s="2"/>
      <c r="F39" s="6">
        <f t="shared" si="0"/>
        <v>2.5016788635385277E-2</v>
      </c>
      <c r="G39" s="2"/>
      <c r="H39" s="2">
        <f>SUM(OSRRefH22_3x_0)</f>
        <v>37</v>
      </c>
      <c r="I39" s="2"/>
      <c r="J39" s="6">
        <f t="shared" si="1"/>
        <v>1.6373130365519072E-3</v>
      </c>
      <c r="K39" s="2"/>
      <c r="L39" s="2">
        <f t="shared" si="2"/>
        <v>834.71</v>
      </c>
      <c r="M39" s="2"/>
      <c r="N39" s="6">
        <f t="shared" si="3"/>
        <v>22.559729729729732</v>
      </c>
      <c r="O39" s="14"/>
      <c r="P39" s="2">
        <f>SUM(OSRRefP22_3x_0)</f>
        <v>2772.18</v>
      </c>
      <c r="Q39" s="2"/>
      <c r="R39" s="6">
        <f t="shared" si="4"/>
        <v>8.0005656598306479E-3</v>
      </c>
      <c r="S39" s="2"/>
      <c r="T39" s="2">
        <f>SUM(OSRRefT22_3x_0)</f>
        <v>707.89</v>
      </c>
      <c r="U39" s="2"/>
      <c r="V39" s="6">
        <f t="shared" si="5"/>
        <v>1.8046724826260535E-3</v>
      </c>
      <c r="W39" s="2"/>
      <c r="X39" s="2">
        <f t="shared" si="6"/>
        <v>2064.29</v>
      </c>
      <c r="Y39" s="2"/>
      <c r="Z39" s="6">
        <f t="shared" si="7"/>
        <v>2.9161169108194778</v>
      </c>
    </row>
    <row r="40" spans="1:26" s="69" customFormat="1" ht="15" hidden="1" customHeight="1" outlineLevel="2" x14ac:dyDescent="0.3">
      <c r="A40" s="26"/>
      <c r="B40" s="12" t="str">
        <f>CONCATENATE("          ","6381"," - ","BANK/CREDIT CARD FEES")</f>
        <v xml:space="preserve">          6381 - BANK/CREDIT CARD FEES</v>
      </c>
      <c r="C40" s="12"/>
      <c r="D40" s="8">
        <v>871.71</v>
      </c>
      <c r="E40" s="3"/>
      <c r="F40" s="7">
        <f t="shared" si="0"/>
        <v>2.5016788635385277E-2</v>
      </c>
      <c r="G40" s="3"/>
      <c r="H40" s="8">
        <v>37</v>
      </c>
      <c r="I40" s="3"/>
      <c r="J40" s="7">
        <f t="shared" si="1"/>
        <v>1.6373130365519072E-3</v>
      </c>
      <c r="K40" s="3"/>
      <c r="L40" s="8">
        <f t="shared" si="2"/>
        <v>834.71</v>
      </c>
      <c r="M40" s="3"/>
      <c r="N40" s="7">
        <f t="shared" si="3"/>
        <v>22.559729729729732</v>
      </c>
      <c r="O40" s="12"/>
      <c r="P40" s="8">
        <v>2772.18</v>
      </c>
      <c r="Q40" s="3"/>
      <c r="R40" s="7">
        <f t="shared" si="4"/>
        <v>8.0005656598306479E-3</v>
      </c>
      <c r="S40" s="3"/>
      <c r="T40" s="8">
        <v>707.89</v>
      </c>
      <c r="U40" s="3"/>
      <c r="V40" s="7">
        <f t="shared" si="5"/>
        <v>1.8046724826260535E-3</v>
      </c>
      <c r="W40" s="3"/>
      <c r="X40" s="8">
        <f t="shared" si="6"/>
        <v>2064.29</v>
      </c>
      <c r="Y40" s="3"/>
      <c r="Z40" s="7">
        <f t="shared" si="7"/>
        <v>2.9161169108194778</v>
      </c>
    </row>
    <row r="41" spans="1:26" s="68" customFormat="1" ht="15" customHeight="1" outlineLevel="1" collapsed="1" x14ac:dyDescent="0.3">
      <c r="A41" s="25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1.7893321173570988E-6</v>
      </c>
      <c r="S41" s="2"/>
      <c r="T41" s="2">
        <f>SUM(OSRRefT22_4x_0)</f>
        <v>2.12</v>
      </c>
      <c r="U41" s="2"/>
      <c r="V41" s="6">
        <f t="shared" si="5"/>
        <v>5.4046612654045596E-6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6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1.7893321173570988E-6</v>
      </c>
      <c r="S42" s="3"/>
      <c r="T42" s="8">
        <v>1.62</v>
      </c>
      <c r="U42" s="3"/>
      <c r="V42" s="7">
        <f t="shared" si="5"/>
        <v>4.129977004695937E-6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6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1.2746842607086224E-6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1.1315827234897402E-3</v>
      </c>
      <c r="G44" s="2"/>
      <c r="H44" s="2">
        <f>SUM(OSRRefH22_5x_0)</f>
        <v>29.01</v>
      </c>
      <c r="I44" s="2"/>
      <c r="J44" s="6">
        <f t="shared" si="1"/>
        <v>1.2837419240640765E-3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315.44</v>
      </c>
      <c r="Q44" s="2"/>
      <c r="R44" s="6">
        <f t="shared" si="4"/>
        <v>9.1036600499858587E-4</v>
      </c>
      <c r="S44" s="2"/>
      <c r="T44" s="2">
        <f>SUM(OSRRefT22_5x_0)</f>
        <v>232.08</v>
      </c>
      <c r="U44" s="2"/>
      <c r="V44" s="6">
        <f t="shared" si="5"/>
        <v>5.9165744645051424E-4</v>
      </c>
      <c r="W44" s="2"/>
      <c r="X44" s="2">
        <f t="shared" si="6"/>
        <v>83.359999999999985</v>
      </c>
      <c r="Y44" s="2"/>
      <c r="Z44" s="6">
        <f t="shared" si="7"/>
        <v>0.35918648741813158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1.1315827234897402E-3</v>
      </c>
      <c r="G45" s="3"/>
      <c r="H45" s="8">
        <v>29.01</v>
      </c>
      <c r="I45" s="3"/>
      <c r="J45" s="7">
        <f t="shared" si="1"/>
        <v>1.2837419240640765E-3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315.44</v>
      </c>
      <c r="Q45" s="3"/>
      <c r="R45" s="7">
        <f t="shared" si="4"/>
        <v>9.1036600499858587E-4</v>
      </c>
      <c r="S45" s="3"/>
      <c r="T45" s="8">
        <v>232.08</v>
      </c>
      <c r="U45" s="3"/>
      <c r="V45" s="7">
        <f t="shared" si="5"/>
        <v>5.9165744645051424E-4</v>
      </c>
      <c r="W45" s="3"/>
      <c r="X45" s="8">
        <f t="shared" si="6"/>
        <v>83.359999999999985</v>
      </c>
      <c r="Y45" s="3"/>
      <c r="Z45" s="7">
        <f t="shared" si="7"/>
        <v>0.35918648741813158</v>
      </c>
    </row>
    <row r="46" spans="1:26" s="68" customFormat="1" ht="15" customHeight="1" outlineLevel="1" collapsed="1" x14ac:dyDescent="0.3">
      <c r="A46" s="25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2.2958817620892524E-2</v>
      </c>
      <c r="G46" s="2"/>
      <c r="H46" s="2">
        <f>SUM(OSRRefH22_6x_0)</f>
        <v>800</v>
      </c>
      <c r="I46" s="2"/>
      <c r="J46" s="6">
        <f t="shared" si="1"/>
        <v>3.5401362952473668E-2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6400</v>
      </c>
      <c r="Q46" s="2"/>
      <c r="R46" s="6">
        <f t="shared" si="4"/>
        <v>1.8470525082395859E-2</v>
      </c>
      <c r="S46" s="2"/>
      <c r="T46" s="2">
        <f>SUM(OSRRefT22_6x_0)</f>
        <v>6400</v>
      </c>
      <c r="U46" s="2"/>
      <c r="V46" s="6">
        <f t="shared" si="5"/>
        <v>1.6315958537070369E-2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2.2958817620892524E-2</v>
      </c>
      <c r="G47" s="3"/>
      <c r="H47" s="8">
        <v>800</v>
      </c>
      <c r="I47" s="3"/>
      <c r="J47" s="7">
        <f t="shared" si="1"/>
        <v>3.5401362952473668E-2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6400</v>
      </c>
      <c r="Q47" s="3"/>
      <c r="R47" s="7">
        <f t="shared" si="4"/>
        <v>1.8470525082395859E-2</v>
      </c>
      <c r="S47" s="3"/>
      <c r="T47" s="8">
        <v>6400</v>
      </c>
      <c r="U47" s="3"/>
      <c r="V47" s="7">
        <f t="shared" si="5"/>
        <v>1.6315958537070369E-2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7583.7</v>
      </c>
      <c r="E48" s="2"/>
      <c r="F48" s="6">
        <f t="shared" si="0"/>
        <v>0.21764098148945329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7583.7</v>
      </c>
      <c r="M48" s="2"/>
      <c r="N48" s="6">
        <f t="shared" si="3"/>
        <v>0</v>
      </c>
      <c r="O48" s="14"/>
      <c r="P48" s="2">
        <f>SUM(OSRRefP22_7x_0)</f>
        <v>131139.97</v>
      </c>
      <c r="Q48" s="2"/>
      <c r="R48" s="6">
        <f t="shared" si="4"/>
        <v>0.37847251643588131</v>
      </c>
      <c r="S48" s="2"/>
      <c r="T48" s="2">
        <f>SUM(OSRRefT22_7x_0)</f>
        <v>126914.9</v>
      </c>
      <c r="U48" s="2"/>
      <c r="V48" s="6">
        <f t="shared" si="5"/>
        <v>0.32355285095881747</v>
      </c>
      <c r="W48" s="2"/>
      <c r="X48" s="2">
        <f t="shared" si="6"/>
        <v>4225.070000000007</v>
      </c>
      <c r="Y48" s="2"/>
      <c r="Z48" s="6">
        <f t="shared" si="7"/>
        <v>3.3290575023106089E-2</v>
      </c>
    </row>
    <row r="49" spans="1:26" s="69" customFormat="1" ht="15" hidden="1" customHeight="1" outlineLevel="2" x14ac:dyDescent="0.3">
      <c r="A49" s="26"/>
      <c r="B49" s="12" t="str">
        <f>CONCATENATE("          ","6371"," - ","COMPUTER SOFTWARE MAINTENANCE")</f>
        <v xml:space="preserve">          6371 - COMPUTER SOFTWARE MAINTENANCE</v>
      </c>
      <c r="C49" s="12"/>
      <c r="D49" s="8">
        <v>7583.7</v>
      </c>
      <c r="E49" s="3"/>
      <c r="F49" s="7">
        <f t="shared" si="0"/>
        <v>0.21764098148945329</v>
      </c>
      <c r="G49" s="3"/>
      <c r="H49" s="8"/>
      <c r="I49" s="3"/>
      <c r="J49" s="7">
        <f t="shared" si="1"/>
        <v>0</v>
      </c>
      <c r="K49" s="3"/>
      <c r="L49" s="8">
        <f t="shared" si="2"/>
        <v>7583.7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2.1886706416775852E-2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4.4896363038170496E-3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122000.62</v>
      </c>
      <c r="Q51" s="3"/>
      <c r="R51" s="7">
        <f t="shared" si="4"/>
        <v>0.3520961737152884</v>
      </c>
      <c r="S51" s="3"/>
      <c r="T51" s="8">
        <v>120352.9</v>
      </c>
      <c r="U51" s="3"/>
      <c r="V51" s="7">
        <f t="shared" si="5"/>
        <v>0.30682389472127752</v>
      </c>
      <c r="W51" s="3"/>
      <c r="X51" s="8">
        <f t="shared" si="6"/>
        <v>1647.7200000000012</v>
      </c>
      <c r="Y51" s="3"/>
      <c r="Z51" s="7">
        <f t="shared" si="7"/>
        <v>1.3690737821855569E-2</v>
      </c>
    </row>
    <row r="52" spans="1:26" s="69" customFormat="1" ht="15" hidden="1" customHeight="1" outlineLevel="2" x14ac:dyDescent="0.3">
      <c r="A52" s="26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1.6728956237539963E-2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5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1513.07</v>
      </c>
      <c r="E53" s="2"/>
      <c r="F53" s="6">
        <f t="shared" si="0"/>
        <v>4.3422872722054813E-2</v>
      </c>
      <c r="G53" s="2"/>
      <c r="H53" s="2">
        <f>SUM(OSRRefH22_8x_0)</f>
        <v>11.55</v>
      </c>
      <c r="I53" s="2"/>
      <c r="J53" s="6">
        <f t="shared" si="1"/>
        <v>5.1110717762633867E-4</v>
      </c>
      <c r="K53" s="2"/>
      <c r="L53" s="2">
        <f t="shared" si="2"/>
        <v>1501.52</v>
      </c>
      <c r="M53" s="2"/>
      <c r="N53" s="6">
        <f t="shared" si="3"/>
        <v>130.00173160173159</v>
      </c>
      <c r="O53" s="14"/>
      <c r="P53" s="2">
        <f>SUM(OSRRefP22_8x_0)</f>
        <v>19591.280000000002</v>
      </c>
      <c r="Q53" s="2"/>
      <c r="R53" s="6">
        <f t="shared" si="4"/>
        <v>5.6540816974412558E-2</v>
      </c>
      <c r="S53" s="2"/>
      <c r="T53" s="2">
        <f>SUM(OSRRefT22_8x_0)</f>
        <v>42058.17</v>
      </c>
      <c r="U53" s="2"/>
      <c r="V53" s="6">
        <f t="shared" si="5"/>
        <v>0.10722177466641512</v>
      </c>
      <c r="W53" s="2"/>
      <c r="X53" s="2">
        <f t="shared" si="6"/>
        <v>-22466.889999999996</v>
      </c>
      <c r="Y53" s="2"/>
      <c r="Z53" s="6">
        <f t="shared" si="7"/>
        <v>-0.53418610462604521</v>
      </c>
    </row>
    <row r="54" spans="1:26" s="69" customFormat="1" ht="15" hidden="1" customHeight="1" outlineLevel="2" x14ac:dyDescent="0.3">
      <c r="A54" s="26"/>
      <c r="B54" s="12" t="str">
        <f>CONCATENATE("          ","6241"," - ","OFFICE EXPENSE")</f>
        <v xml:space="preserve">          6241 - OFFICE EXPENSE</v>
      </c>
      <c r="C54" s="12"/>
      <c r="D54" s="8">
        <v>1513.07</v>
      </c>
      <c r="E54" s="3"/>
      <c r="F54" s="7">
        <f t="shared" si="0"/>
        <v>4.3422872722054813E-2</v>
      </c>
      <c r="G54" s="3"/>
      <c r="H54" s="8">
        <v>11.55</v>
      </c>
      <c r="I54" s="3"/>
      <c r="J54" s="7">
        <f t="shared" si="1"/>
        <v>5.1110717762633867E-4</v>
      </c>
      <c r="K54" s="3"/>
      <c r="L54" s="8">
        <f t="shared" si="2"/>
        <v>1501.52</v>
      </c>
      <c r="M54" s="3"/>
      <c r="N54" s="7">
        <f t="shared" si="3"/>
        <v>130.00173160173159</v>
      </c>
      <c r="O54" s="12"/>
      <c r="P54" s="8">
        <v>19574.740000000002</v>
      </c>
      <c r="Q54" s="3"/>
      <c r="R54" s="7">
        <f t="shared" si="4"/>
        <v>5.6493082211152741E-2</v>
      </c>
      <c r="S54" s="3"/>
      <c r="T54" s="8">
        <v>42058.17</v>
      </c>
      <c r="U54" s="3"/>
      <c r="V54" s="7">
        <f t="shared" si="5"/>
        <v>0.10722177466641512</v>
      </c>
      <c r="W54" s="3"/>
      <c r="X54" s="8">
        <f t="shared" si="6"/>
        <v>-22483.429999999997</v>
      </c>
      <c r="Y54" s="3"/>
      <c r="Z54" s="7">
        <f t="shared" si="7"/>
        <v>-0.53457936947803475</v>
      </c>
    </row>
    <row r="55" spans="1:26" s="69" customFormat="1" ht="15" hidden="1" customHeight="1" outlineLevel="2" x14ac:dyDescent="0.3">
      <c r="A55" s="26"/>
      <c r="B55" s="12" t="str">
        <f>CONCATENATE("          ","6247"," - ","STORE SUPPLIES")</f>
        <v xml:space="preserve">          6247 - STORE SUPPLIES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16.54</v>
      </c>
      <c r="Q55" s="3"/>
      <c r="R55" s="7">
        <f t="shared" si="4"/>
        <v>4.7734763259816794E-5</v>
      </c>
      <c r="S55" s="3"/>
      <c r="T55" s="8"/>
      <c r="U55" s="3"/>
      <c r="V55" s="7">
        <f t="shared" si="5"/>
        <v>0</v>
      </c>
      <c r="W55" s="3"/>
      <c r="X55" s="8">
        <f t="shared" si="6"/>
        <v>16.54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5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87.2</v>
      </c>
      <c r="E56" s="2"/>
      <c r="F56" s="6">
        <f t="shared" si="0"/>
        <v>2.5025111206772852E-3</v>
      </c>
      <c r="G56" s="2"/>
      <c r="H56" s="2">
        <f>SUM(OSRRefH22_9x_0)</f>
        <v>86.45</v>
      </c>
      <c r="I56" s="2"/>
      <c r="J56" s="6">
        <f t="shared" si="1"/>
        <v>3.8255597840516861E-3</v>
      </c>
      <c r="K56" s="2"/>
      <c r="L56" s="2">
        <f t="shared" si="2"/>
        <v>0.75</v>
      </c>
      <c r="M56" s="2"/>
      <c r="N56" s="6">
        <f t="shared" si="3"/>
        <v>8.6755349913244639E-3</v>
      </c>
      <c r="O56" s="14"/>
      <c r="P56" s="2">
        <f>SUM(OSRRefP22_9x_0)</f>
        <v>280.2</v>
      </c>
      <c r="Q56" s="2"/>
      <c r="R56" s="6">
        <f t="shared" si="4"/>
        <v>8.0866267626364364E-4</v>
      </c>
      <c r="S56" s="2"/>
      <c r="T56" s="2">
        <f>SUM(OSRRefT22_9x_0)</f>
        <v>1624.83</v>
      </c>
      <c r="U56" s="2"/>
      <c r="V56" s="6">
        <f t="shared" si="5"/>
        <v>4.1422904546543817E-3</v>
      </c>
      <c r="W56" s="2"/>
      <c r="X56" s="2">
        <f t="shared" si="6"/>
        <v>-1344.6299999999999</v>
      </c>
      <c r="Y56" s="2"/>
      <c r="Z56" s="6">
        <f t="shared" si="7"/>
        <v>-0.82755118997064303</v>
      </c>
    </row>
    <row r="57" spans="1:26" s="69" customFormat="1" ht="15" hidden="1" customHeight="1" outlineLevel="2" x14ac:dyDescent="0.3">
      <c r="A57" s="26"/>
      <c r="B57" s="12" t="str">
        <f>CONCATENATE("          ","6309"," - ","TELEPHONE")</f>
        <v xml:space="preserve">          6309 - TELEPHONE</v>
      </c>
      <c r="C57" s="12"/>
      <c r="D57" s="8">
        <v>87.2</v>
      </c>
      <c r="E57" s="3"/>
      <c r="F57" s="7">
        <f t="shared" si="0"/>
        <v>2.5025111206772852E-3</v>
      </c>
      <c r="G57" s="3"/>
      <c r="H57" s="8">
        <v>86.45</v>
      </c>
      <c r="I57" s="3"/>
      <c r="J57" s="7">
        <f t="shared" si="1"/>
        <v>3.8255597840516861E-3</v>
      </c>
      <c r="K57" s="3"/>
      <c r="L57" s="8">
        <f t="shared" si="2"/>
        <v>0.75</v>
      </c>
      <c r="M57" s="3"/>
      <c r="N57" s="7">
        <f t="shared" si="3"/>
        <v>8.6755349913244639E-3</v>
      </c>
      <c r="O57" s="12"/>
      <c r="P57" s="8">
        <v>280.2</v>
      </c>
      <c r="Q57" s="3"/>
      <c r="R57" s="7">
        <f t="shared" si="4"/>
        <v>8.0866267626364364E-4</v>
      </c>
      <c r="S57" s="3"/>
      <c r="T57" s="8">
        <v>1624.83</v>
      </c>
      <c r="U57" s="3"/>
      <c r="V57" s="7">
        <f t="shared" si="5"/>
        <v>4.1422904546543817E-3</v>
      </c>
      <c r="W57" s="3"/>
      <c r="X57" s="8">
        <f t="shared" si="6"/>
        <v>-1344.6299999999999</v>
      </c>
      <c r="Y57" s="3"/>
      <c r="Z57" s="7">
        <f t="shared" si="7"/>
        <v>-0.82755118997064303</v>
      </c>
    </row>
    <row r="58" spans="1:26" s="68" customFormat="1" ht="15" customHeight="1" outlineLevel="1" collapsed="1" x14ac:dyDescent="0.3">
      <c r="A58" s="25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5.7720390882487057E-3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5.7720390882487057E-3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7" t="s">
        <v>290</v>
      </c>
      <c r="C61" s="11"/>
      <c r="D61" s="5">
        <f>SUM(OSRRefD25x_0)</f>
        <v>1802.51</v>
      </c>
      <c r="E61" s="5"/>
      <c r="F61" s="13">
        <f>IF(D$12=0,0,D61/D$12)</f>
        <v>5.1729372937293731E-2</v>
      </c>
      <c r="G61" s="5"/>
      <c r="H61" s="5">
        <f>SUM(OSRRefH25x_0)</f>
        <v>231.48</v>
      </c>
      <c r="I61" s="5"/>
      <c r="J61" s="13">
        <f>IF(H$12=0,0,H61/H$12)</f>
        <v>1.0243384370298257E-2</v>
      </c>
      <c r="K61" s="5"/>
      <c r="L61" s="5">
        <f>+D61-H61</f>
        <v>1571.03</v>
      </c>
      <c r="M61" s="5"/>
      <c r="N61" s="13">
        <f>IF(H61=0,0,L61/H61)</f>
        <v>6.7868930361154316</v>
      </c>
      <c r="O61" s="11"/>
      <c r="P61" s="5">
        <f>SUM(OSRRefP25x_0)</f>
        <v>8041.05</v>
      </c>
      <c r="Q61" s="5"/>
      <c r="R61" s="13">
        <f>IF(P$12=0,0,P61/P$12)</f>
        <v>2.3206627455281129E-2</v>
      </c>
      <c r="S61" s="5"/>
      <c r="T61" s="5">
        <f>SUM(OSRRefT25x_0)</f>
        <v>1728.68</v>
      </c>
      <c r="U61" s="5"/>
      <c r="V61" s="13">
        <f>IF(T$12=0,0,T61/T$12)</f>
        <v>4.4070423756035629E-3</v>
      </c>
      <c r="W61" s="5"/>
      <c r="X61" s="5">
        <f>+P61-T61</f>
        <v>6312.37</v>
      </c>
      <c r="Y61" s="5"/>
      <c r="Z61" s="13">
        <f>IF(T61=0,0,X61/T61)</f>
        <v>3.6515549436564312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--1802.51</f>
        <v>1802.51</v>
      </c>
      <c r="E62" s="3"/>
      <c r="F62" s="20">
        <f>IF(D$12=0,0,D62/D$12)</f>
        <v>5.1729372937293731E-2</v>
      </c>
      <c r="G62" s="3"/>
      <c r="H62" s="3">
        <f>--231.48</f>
        <v>231.48</v>
      </c>
      <c r="I62" s="3"/>
      <c r="J62" s="20">
        <f>IF(H$12=0,0,H62/H$12)</f>
        <v>1.0243384370298257E-2</v>
      </c>
      <c r="K62" s="3"/>
      <c r="L62" s="3">
        <f>+D62-H62</f>
        <v>1571.03</v>
      </c>
      <c r="M62" s="3"/>
      <c r="N62" s="20">
        <f>IF(H62=0,0,L62/H62)</f>
        <v>6.7868930361154316</v>
      </c>
      <c r="O62" s="12"/>
      <c r="P62" s="3">
        <f>--8041.05</f>
        <v>8041.05</v>
      </c>
      <c r="Q62" s="3"/>
      <c r="R62" s="20">
        <f>IF(P$12=0,0,P62/P$12)</f>
        <v>2.3206627455281129E-2</v>
      </c>
      <c r="S62" s="3"/>
      <c r="T62" s="3">
        <f>--1728.68</f>
        <v>1728.68</v>
      </c>
      <c r="U62" s="3"/>
      <c r="V62" s="20">
        <f>IF(T$12=0,0,T62/T$12)</f>
        <v>4.4070423756035629E-3</v>
      </c>
      <c r="W62" s="3"/>
      <c r="X62" s="3">
        <f>+P62-T62</f>
        <v>6312.37</v>
      </c>
      <c r="Y62" s="3"/>
      <c r="Z62" s="20">
        <f>IF(T62=0,0,X62/T62)</f>
        <v>3.6515549436564312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8" t="s">
        <v>291</v>
      </c>
      <c r="C64" s="28"/>
      <c r="D64" s="23">
        <f>+D17-D19+D61</f>
        <v>6399.9599999999973</v>
      </c>
      <c r="E64" s="15"/>
      <c r="F64" s="22">
        <f>IF(D$12=0,0,D64/D$12)</f>
        <v>0.18366939302625906</v>
      </c>
      <c r="G64" s="15"/>
      <c r="H64" s="23">
        <f>+H17-H19+H61</f>
        <v>4995.0099999999984</v>
      </c>
      <c r="I64" s="15"/>
      <c r="J64" s="22">
        <f>IF(H$12=0,0,H64/H$12)</f>
        <v>0.2210377024515443</v>
      </c>
      <c r="K64" s="17"/>
      <c r="L64" s="23">
        <f>+D64-H64</f>
        <v>1404.9499999999989</v>
      </c>
      <c r="M64" s="17"/>
      <c r="N64" s="22">
        <f>IF(H64=0,0,L64/H64)</f>
        <v>0.28127070816675032</v>
      </c>
      <c r="O64" s="27"/>
      <c r="P64" s="23">
        <f>+P17-P19+P61</f>
        <v>41253.190000000017</v>
      </c>
      <c r="Q64" s="15"/>
      <c r="R64" s="22">
        <f>IF(P$12=0,0,P64/P$12)</f>
        <v>0.11905751259747537</v>
      </c>
      <c r="S64" s="15"/>
      <c r="T64" s="23">
        <f>+T17-T19+T61</f>
        <v>67101.919999999984</v>
      </c>
      <c r="U64" s="15"/>
      <c r="V64" s="22">
        <f>IF(T$12=0,0,T64/T$12)</f>
        <v>0.17106752257465821</v>
      </c>
      <c r="W64" s="17"/>
      <c r="X64" s="23">
        <f>+P64-T64</f>
        <v>-25848.729999999967</v>
      </c>
      <c r="Y64" s="17"/>
      <c r="Z64" s="22">
        <f>IF(T64=0,0,X64/T64)</f>
        <v>-0.38521595209198145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1998.13</v>
      </c>
      <c r="E66" s="5"/>
      <c r="F66" s="13">
        <f>IF(D$12=0,0,D66/D$12)</f>
        <v>5.7343377816042478E-2</v>
      </c>
      <c r="G66" s="5"/>
      <c r="H66" s="5">
        <v>10577.98</v>
      </c>
      <c r="I66" s="5"/>
      <c r="J66" s="13">
        <f>IF(H$12=0,0,H66/H$12)</f>
        <v>0.4680936366050093</v>
      </c>
      <c r="K66" s="5"/>
      <c r="L66" s="5">
        <f>+D66-H66</f>
        <v>-8579.8499999999985</v>
      </c>
      <c r="M66" s="5"/>
      <c r="N66" s="13">
        <f>IF(H66=0,0,L66/H66)</f>
        <v>-0.8111047666945862</v>
      </c>
      <c r="O66" s="11"/>
      <c r="P66" s="5">
        <v>43250.82</v>
      </c>
      <c r="Q66" s="5"/>
      <c r="R66" s="13">
        <f>IF(P$12=0,0,P66/P$12)</f>
        <v>0.12482271181940444</v>
      </c>
      <c r="S66" s="5"/>
      <c r="T66" s="5">
        <v>77680.320000000007</v>
      </c>
      <c r="U66" s="5"/>
      <c r="V66" s="13">
        <f>IF(T$12=0,0,T66/T$12)</f>
        <v>0.19803576254161845</v>
      </c>
      <c r="W66" s="5"/>
      <c r="X66" s="5">
        <f>+P66-T66</f>
        <v>-34429.500000000007</v>
      </c>
      <c r="Y66" s="5"/>
      <c r="Z66" s="13">
        <f>IF(T66=0,0,X66/T66)</f>
        <v>-0.44322036778427282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293</v>
      </c>
      <c r="C68" s="28"/>
      <c r="D68" s="33">
        <f>+D64-D66</f>
        <v>4401.8299999999972</v>
      </c>
      <c r="E68" s="15"/>
      <c r="F68" s="34">
        <f>IF(D$12=0,0,D68/D$12)</f>
        <v>0.12632601521021658</v>
      </c>
      <c r="G68" s="15"/>
      <c r="H68" s="33">
        <f>+H64-H66</f>
        <v>-5582.9700000000012</v>
      </c>
      <c r="I68" s="15"/>
      <c r="J68" s="34">
        <f>IF(H$12=0,0,H68/H$12)</f>
        <v>-0.24705593415346497</v>
      </c>
      <c r="K68" s="17"/>
      <c r="L68" s="33">
        <f>D68-H68</f>
        <v>9984.7999999999993</v>
      </c>
      <c r="M68" s="17"/>
      <c r="N68" s="34">
        <f>IF(H68=0,0,L68/H68)</f>
        <v>-1.7884387700453337</v>
      </c>
      <c r="O68" s="27"/>
      <c r="P68" s="33">
        <f>+P64-P66</f>
        <v>-1997.6299999999828</v>
      </c>
      <c r="Q68" s="15"/>
      <c r="R68" s="34">
        <f>IF(P$12=0,0,P68/P$12)</f>
        <v>-5.7651992219290814E-3</v>
      </c>
      <c r="S68" s="15"/>
      <c r="T68" s="33">
        <f>+T64-T66</f>
        <v>-10578.400000000023</v>
      </c>
      <c r="U68" s="15"/>
      <c r="V68" s="34">
        <f>IF(T$12=0,0,T68/T$12)</f>
        <v>-2.6968239966960243E-2</v>
      </c>
      <c r="W68" s="17"/>
      <c r="X68" s="33">
        <f>P68-T68</f>
        <v>8580.7700000000405</v>
      </c>
      <c r="Y68" s="17"/>
      <c r="Z68" s="34">
        <f>IF(T68=0,0,X68/T68)</f>
        <v>-0.81115953263253626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8" t="s">
        <v>296</v>
      </c>
      <c r="C71" s="28"/>
      <c r="D71" s="35">
        <f>SUM(D68:D70)</f>
        <v>4401.8299999999972</v>
      </c>
      <c r="E71" s="15"/>
      <c r="F71" s="29">
        <f>IF(D$12=0,0,D71/D$12)</f>
        <v>0.12632601521021658</v>
      </c>
      <c r="G71" s="15"/>
      <c r="H71" s="35">
        <f>SUM(H68:H70)</f>
        <v>-5582.9700000000012</v>
      </c>
      <c r="I71" s="15"/>
      <c r="J71" s="29">
        <f>IF(H$12=0,0,H71/H$12)</f>
        <v>-0.24705593415346497</v>
      </c>
      <c r="K71" s="17"/>
      <c r="L71" s="35">
        <f>+D71-H71</f>
        <v>9984.7999999999993</v>
      </c>
      <c r="M71" s="17"/>
      <c r="N71" s="29">
        <f>IF(H71=0,0,L71/H71)</f>
        <v>-1.7884387700453337</v>
      </c>
      <c r="O71" s="27"/>
      <c r="P71" s="35">
        <f>SUM(P68:P70)</f>
        <v>-1997.6299999999828</v>
      </c>
      <c r="Q71" s="15"/>
      <c r="R71" s="29">
        <f>IF(P$12=0,0,P71/P$12)</f>
        <v>-5.7651992219290814E-3</v>
      </c>
      <c r="S71" s="15"/>
      <c r="T71" s="35">
        <f>SUM(T68:T70)</f>
        <v>-10578.400000000023</v>
      </c>
      <c r="U71" s="15"/>
      <c r="V71" s="29">
        <f>IF(T$12=0,0,T71/T$12)</f>
        <v>-2.6968239966960243E-2</v>
      </c>
      <c r="W71" s="17"/>
      <c r="X71" s="35">
        <f>+P71-T71</f>
        <v>8580.7700000000405</v>
      </c>
      <c r="Y71" s="17"/>
      <c r="Z71" s="29">
        <f>IF(T71=0,0,X71/T71)</f>
        <v>-0.81115953263253626</v>
      </c>
    </row>
    <row r="72" spans="1:26" ht="15" customHeight="1" x14ac:dyDescent="0.3">
      <c r="A72" s="10"/>
      <c r="C72" s="10"/>
      <c r="D72" s="18"/>
      <c r="E72" s="18"/>
      <c r="G72" s="18"/>
      <c r="H72" s="18"/>
      <c r="I72" s="18"/>
      <c r="J72" s="41"/>
      <c r="K72" s="18"/>
      <c r="L72" s="18"/>
      <c r="M72" s="18"/>
      <c r="P72" s="18"/>
      <c r="Q72" s="18"/>
      <c r="R72" s="41"/>
      <c r="S72" s="18"/>
      <c r="T72" s="18"/>
      <c r="U72" s="18"/>
      <c r="V72" s="41"/>
      <c r="W72" s="18"/>
      <c r="X72" s="18"/>
    </row>
    <row r="73" spans="1:26" ht="15" customHeight="1" x14ac:dyDescent="0.3">
      <c r="A73" s="10"/>
      <c r="B73" s="50">
        <v>44634.887810300927</v>
      </c>
      <c r="D73" s="18"/>
      <c r="E73" s="18"/>
      <c r="G73" s="18"/>
      <c r="H73" s="18"/>
      <c r="I73" s="18"/>
      <c r="J73" s="41"/>
      <c r="K73" s="18"/>
      <c r="L73" s="18"/>
      <c r="M73" s="18"/>
      <c r="P73" s="18"/>
      <c r="Q73" s="18"/>
      <c r="R73" s="41"/>
      <c r="S73" s="18"/>
      <c r="T73" s="18"/>
      <c r="U73" s="18"/>
      <c r="V73" s="41"/>
      <c r="W73" s="18"/>
      <c r="X73" s="18"/>
    </row>
    <row r="74" spans="1:26" ht="15" customHeight="1" x14ac:dyDescent="0.3">
      <c r="A74" s="10"/>
      <c r="B74" s="58" t="s">
        <v>297</v>
      </c>
      <c r="D74" s="18"/>
      <c r="E74" s="18"/>
      <c r="G74" s="18"/>
      <c r="H74" s="18"/>
      <c r="I74" s="18"/>
      <c r="J74" s="41"/>
      <c r="K74" s="18"/>
      <c r="L74" s="18"/>
      <c r="M74" s="18"/>
      <c r="P74" s="18"/>
      <c r="Q74" s="18"/>
      <c r="R74" s="41"/>
      <c r="S74" s="18"/>
      <c r="T74" s="18"/>
      <c r="U74" s="18"/>
      <c r="V74" s="41"/>
      <c r="W74" s="18"/>
      <c r="X74" s="18"/>
    </row>
    <row r="75" spans="1:26" ht="15" customHeight="1" x14ac:dyDescent="0.3">
      <c r="A75" s="10"/>
      <c r="B75" s="56"/>
      <c r="D75" s="18"/>
      <c r="E75" s="18"/>
      <c r="G75" s="18"/>
      <c r="H75" s="18"/>
      <c r="I75" s="18"/>
      <c r="J75" s="41"/>
      <c r="K75" s="18"/>
      <c r="L75" s="18"/>
      <c r="M75" s="18"/>
      <c r="P75" s="18"/>
      <c r="Q75" s="18"/>
      <c r="R75" s="41"/>
      <c r="S75" s="18"/>
      <c r="T75" s="18"/>
      <c r="U75" s="18"/>
      <c r="V75" s="41"/>
      <c r="W75" s="18"/>
      <c r="X75" s="18"/>
    </row>
    <row r="76" spans="1:26" ht="15" customHeight="1" x14ac:dyDescent="0.3">
      <c r="D76" s="18"/>
      <c r="E76" s="18"/>
      <c r="G76" s="18"/>
      <c r="H76" s="18"/>
      <c r="I76" s="18"/>
      <c r="J76" s="41"/>
      <c r="K76" s="18"/>
      <c r="L76" s="18"/>
      <c r="M76" s="18"/>
      <c r="P76" s="18"/>
      <c r="Q76" s="18"/>
      <c r="R76" s="41"/>
      <c r="S76" s="18"/>
      <c r="T76" s="18"/>
      <c r="U76" s="18"/>
      <c r="V76" s="41"/>
      <c r="W76" s="18"/>
      <c r="X76" s="18"/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5D63-AE2C-7C19-3A39-D141423A0D5A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8E6CB-E45C-D461-B91F-7308211C0C74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0169-32F3-2D2E-BF21-A51EC81A1B63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7" t="s">
        <v>276</v>
      </c>
    </row>
    <row r="3" spans="1:26" ht="15" customHeight="1" x14ac:dyDescent="0.3">
      <c r="D3" s="57" t="s">
        <v>277</v>
      </c>
      <c r="E3" s="19"/>
      <c r="F3" s="46"/>
      <c r="G3" s="19"/>
      <c r="H3" s="19"/>
      <c r="I3" s="19"/>
      <c r="J3" s="37"/>
      <c r="K3" s="19"/>
      <c r="L3" s="19"/>
      <c r="M3" s="19"/>
      <c r="N3" s="46"/>
      <c r="O3" s="51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9"/>
      <c r="F4" s="46"/>
      <c r="G4" s="19"/>
      <c r="H4" s="19"/>
      <c r="I4" s="19"/>
      <c r="J4" s="37"/>
      <c r="K4" s="19"/>
      <c r="L4" s="19"/>
      <c r="M4" s="19"/>
      <c r="N4" s="46"/>
      <c r="O4" s="51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6"/>
      <c r="G5" s="19"/>
      <c r="H5" s="19"/>
      <c r="I5" s="19"/>
      <c r="J5" s="37"/>
      <c r="K5" s="19"/>
      <c r="L5" s="19"/>
      <c r="M5" s="19"/>
      <c r="N5" s="46"/>
      <c r="O5" s="51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6"/>
      <c r="G6" s="19"/>
      <c r="H6" s="19"/>
      <c r="I6" s="19"/>
      <c r="J6" s="37"/>
      <c r="K6" s="19"/>
      <c r="L6" s="19"/>
      <c r="M6" s="19"/>
      <c r="N6" s="46"/>
      <c r="O6" s="52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3">
      <c r="B7" s="55"/>
    </row>
    <row r="8" spans="1:26" ht="15" customHeight="1" x14ac:dyDescent="0.3">
      <c r="B8" s="55"/>
    </row>
    <row r="9" spans="1:26" ht="15" customHeight="1" x14ac:dyDescent="0.3">
      <c r="B9" s="10"/>
      <c r="C9" s="10"/>
      <c r="D9" s="16" t="s">
        <v>279</v>
      </c>
      <c r="E9" s="16"/>
      <c r="F9" s="38"/>
      <c r="G9" s="16"/>
      <c r="H9" s="16"/>
      <c r="I9" s="16"/>
      <c r="J9" s="43"/>
      <c r="K9" s="16"/>
      <c r="L9" s="16"/>
      <c r="M9" s="16"/>
      <c r="N9" s="38"/>
      <c r="P9" s="16" t="s">
        <v>280</v>
      </c>
      <c r="Q9" s="16"/>
      <c r="R9" s="38"/>
      <c r="S9" s="16"/>
      <c r="T9" s="16"/>
      <c r="U9" s="16"/>
      <c r="V9" s="43"/>
      <c r="W9" s="16"/>
      <c r="X9" s="16"/>
      <c r="Y9" s="16"/>
      <c r="Z9" s="38"/>
    </row>
    <row r="10" spans="1:26" ht="15" customHeight="1" x14ac:dyDescent="0.3">
      <c r="A10" s="11"/>
      <c r="B10" s="54"/>
      <c r="C10" s="11"/>
      <c r="D10" s="40" t="s">
        <v>281</v>
      </c>
      <c r="E10" s="31"/>
      <c r="F10" s="32" t="s">
        <v>282</v>
      </c>
      <c r="G10" s="31"/>
      <c r="H10" s="47" t="s">
        <v>283</v>
      </c>
      <c r="I10" s="31"/>
      <c r="J10" s="32" t="s">
        <v>282</v>
      </c>
      <c r="K10" s="11"/>
      <c r="L10" s="40" t="s">
        <v>284</v>
      </c>
      <c r="M10" s="11"/>
      <c r="N10" s="32" t="s">
        <v>285</v>
      </c>
      <c r="O10" s="11"/>
      <c r="P10" s="53" t="s">
        <v>281</v>
      </c>
      <c r="Q10" s="31"/>
      <c r="R10" s="32" t="s">
        <v>282</v>
      </c>
      <c r="S10" s="31"/>
      <c r="T10" s="47" t="s">
        <v>283</v>
      </c>
      <c r="U10" s="31"/>
      <c r="V10" s="32" t="s">
        <v>282</v>
      </c>
      <c r="W10" s="11"/>
      <c r="X10" s="40" t="s">
        <v>284</v>
      </c>
      <c r="Y10" s="11"/>
      <c r="Z10" s="32" t="s">
        <v>285</v>
      </c>
    </row>
    <row r="11" spans="1:26" ht="16.5" customHeight="1" x14ac:dyDescent="0.3">
      <c r="A11" s="10"/>
      <c r="B11" s="49"/>
      <c r="C11" s="10"/>
      <c r="D11" s="10"/>
      <c r="E11" s="10"/>
      <c r="F11" s="9"/>
      <c r="G11" s="10"/>
      <c r="H11" s="10"/>
      <c r="I11" s="10"/>
      <c r="J11" s="44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4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7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1" t="e">
        <f ca="1">SUM(_xll.ONESTOP.REPORTPLAYER.OSRFUNCTIONS.OSRREF(D22))</f>
        <v>#NAME?</v>
      </c>
      <c r="E20" s="21"/>
      <c r="F20" s="30" t="e">
        <f ca="1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ca="1">IF(H$12=0,0,H20/H$12)</f>
        <v>#NAME?</v>
      </c>
      <c r="K20" s="5"/>
      <c r="L20" s="21" t="e">
        <f ca="1">+D20-H20</f>
        <v>#NAME?</v>
      </c>
      <c r="M20" s="5"/>
      <c r="N20" s="30" t="e">
        <f ca="1">IF(H20=0,0,L20/H20)</f>
        <v>#NAME?</v>
      </c>
      <c r="O20" s="11"/>
      <c r="P20" s="21" t="e">
        <f ca="1">SUM(_xll.ONESTOP.REPORTPLAYER.OSRFUNCTIONS.OSRREF(P22))</f>
        <v>#NAME?</v>
      </c>
      <c r="Q20" s="21"/>
      <c r="R20" s="30" t="e">
        <f ca="1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ca="1">IF(T$12=0,0,T20/T$12)</f>
        <v>#NAME?</v>
      </c>
      <c r="W20" s="5"/>
      <c r="X20" s="21" t="e">
        <f ca="1">+P20-T20</f>
        <v>#NAME?</v>
      </c>
      <c r="Y20" s="5"/>
      <c r="Z20" s="30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7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3" t="e">
        <f ca="1">+D27-D29</f>
        <v>#NAME?</v>
      </c>
      <c r="E31" s="15"/>
      <c r="F31" s="34" t="e">
        <f ca="1">IF(D$12=0,0,D31/D$12)</f>
        <v>#NAME?</v>
      </c>
      <c r="G31" s="15"/>
      <c r="H31" s="33" t="e">
        <f ca="1">+H27-H29</f>
        <v>#NAME?</v>
      </c>
      <c r="I31" s="15"/>
      <c r="J31" s="34" t="e">
        <f ca="1">IF(H$12=0,0,H31/H$12)</f>
        <v>#NAME?</v>
      </c>
      <c r="K31" s="17"/>
      <c r="L31" s="33" t="e">
        <f ca="1">D31-H31</f>
        <v>#NAME?</v>
      </c>
      <c r="M31" s="17"/>
      <c r="N31" s="34" t="e">
        <f ca="1">IF(H31=0,0,L31/H31)</f>
        <v>#NAME?</v>
      </c>
      <c r="O31" s="27"/>
      <c r="P31" s="33" t="e">
        <f ca="1">+P27-P29</f>
        <v>#NAME?</v>
      </c>
      <c r="Q31" s="15"/>
      <c r="R31" s="34" t="e">
        <f ca="1">IF(P$12=0,0,P31/P$12)</f>
        <v>#NAME?</v>
      </c>
      <c r="S31" s="15"/>
      <c r="T31" s="33" t="e">
        <f ca="1">+T27-T29</f>
        <v>#NAME?</v>
      </c>
      <c r="U31" s="15"/>
      <c r="V31" s="34" t="e">
        <f ca="1">IF(T$12=0,0,T31/T$12)</f>
        <v>#NAME?</v>
      </c>
      <c r="W31" s="17"/>
      <c r="X31" s="33" t="e">
        <f ca="1">P31-T31</f>
        <v>#NAME?</v>
      </c>
      <c r="Y31" s="17"/>
      <c r="Z31" s="34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35" t="e">
        <f ca="1">SUM(D31:D35)</f>
        <v>#NAME?</v>
      </c>
      <c r="E36" s="15"/>
      <c r="F36" s="29" t="e">
        <f ca="1">IF(D$12=0,0,D36/D$12)</f>
        <v>#NAME?</v>
      </c>
      <c r="G36" s="15"/>
      <c r="H36" s="35" t="e">
        <f ca="1">SUM(H31:H35)</f>
        <v>#NAME?</v>
      </c>
      <c r="I36" s="15"/>
      <c r="J36" s="29" t="e">
        <f ca="1">IF(H$12=0,0,H36/H$12)</f>
        <v>#NAME?</v>
      </c>
      <c r="K36" s="17"/>
      <c r="L36" s="35" t="e">
        <f ca="1">+D36-H36</f>
        <v>#NAME?</v>
      </c>
      <c r="M36" s="17"/>
      <c r="N36" s="29" t="e">
        <f ca="1">IF(H36=0,0,L36/H36)</f>
        <v>#NAME?</v>
      </c>
      <c r="O36" s="27"/>
      <c r="P36" s="35" t="e">
        <f ca="1">SUM(P31:P35)</f>
        <v>#NAME?</v>
      </c>
      <c r="Q36" s="15"/>
      <c r="R36" s="29" t="e">
        <f ca="1">IF(P$12=0,0,P36/P$12)</f>
        <v>#NAME?</v>
      </c>
      <c r="S36" s="15"/>
      <c r="T36" s="35" t="e">
        <f ca="1">SUM(T31:T35)</f>
        <v>#NAME?</v>
      </c>
      <c r="U36" s="15"/>
      <c r="V36" s="29" t="e">
        <f ca="1">IF(T$12=0,0,T36/T$12)</f>
        <v>#NAME?</v>
      </c>
      <c r="W36" s="17"/>
      <c r="X36" s="35" t="e">
        <f ca="1">+P36-T36</f>
        <v>#NAME?</v>
      </c>
      <c r="Y36" s="17"/>
      <c r="Z36" s="29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1"/>
      <c r="K37" s="18"/>
      <c r="L37" s="18"/>
      <c r="M37" s="18"/>
      <c r="P37" s="18"/>
      <c r="Q37" s="18"/>
      <c r="R37" s="41"/>
      <c r="S37" s="18"/>
      <c r="T37" s="18"/>
      <c r="U37" s="18"/>
      <c r="V37" s="41"/>
      <c r="W37" s="18"/>
      <c r="X37" s="18"/>
    </row>
    <row r="38" spans="1:26" ht="15" customHeight="1" x14ac:dyDescent="0.3">
      <c r="A38" s="10"/>
      <c r="B38" s="5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1"/>
      <c r="K38" s="18"/>
      <c r="L38" s="18"/>
      <c r="M38" s="18"/>
      <c r="P38" s="18"/>
      <c r="Q38" s="18"/>
      <c r="R38" s="41"/>
      <c r="S38" s="18"/>
      <c r="T38" s="18"/>
      <c r="U38" s="18"/>
      <c r="V38" s="41"/>
      <c r="W38" s="18"/>
      <c r="X38" s="18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8"/>
      <c r="E39" s="18"/>
      <c r="G39" s="18"/>
      <c r="H39" s="18"/>
      <c r="I39" s="18"/>
      <c r="J39" s="41"/>
      <c r="K39" s="18"/>
      <c r="L39" s="18"/>
      <c r="M39" s="18"/>
      <c r="P39" s="18"/>
      <c r="Q39" s="18"/>
      <c r="R39" s="41"/>
      <c r="S39" s="18"/>
      <c r="T39" s="18"/>
      <c r="U39" s="18"/>
      <c r="V39" s="41"/>
      <c r="W39" s="18"/>
      <c r="X39" s="18"/>
    </row>
    <row r="40" spans="1:26" ht="15" customHeight="1" x14ac:dyDescent="0.3">
      <c r="A40" s="10"/>
      <c r="B40" s="56"/>
      <c r="D40" s="18"/>
      <c r="E40" s="18"/>
      <c r="G40" s="18"/>
      <c r="H40" s="18"/>
      <c r="I40" s="18"/>
      <c r="J40" s="41"/>
      <c r="K40" s="18"/>
      <c r="L40" s="18"/>
      <c r="M40" s="18"/>
      <c r="P40" s="18"/>
      <c r="Q40" s="18"/>
      <c r="R40" s="41"/>
      <c r="S40" s="18"/>
      <c r="T40" s="18"/>
      <c r="U40" s="18"/>
      <c r="V40" s="41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1"/>
      <c r="K41" s="18"/>
      <c r="L41" s="18"/>
      <c r="M41" s="18"/>
      <c r="P41" s="18"/>
      <c r="Q41" s="18"/>
      <c r="R41" s="41"/>
      <c r="S41" s="18"/>
      <c r="T41" s="18"/>
      <c r="U41" s="18"/>
      <c r="V41" s="41"/>
      <c r="W41" s="18"/>
      <c r="X41" s="1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3588</vt:i4>
      </vt:variant>
    </vt:vector>
  </HeadingPairs>
  <TitlesOfParts>
    <vt:vector size="368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308</vt:lpstr>
      <vt:lpstr>311</vt:lpstr>
      <vt:lpstr>324</vt:lpstr>
      <vt:lpstr>331</vt:lpstr>
      <vt:lpstr>307</vt:lpstr>
      <vt:lpstr>333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'333'!OSRRefD22_16x_0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'413'!OSRRefD22_5x_0</vt:lpstr>
      <vt:lpstr>'414'!OSRRefD22_5x_0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'333'!OSRRefH22_16x_0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'413'!OSRRefH22_5x_0</vt:lpstr>
      <vt:lpstr>'414'!OSRRefH22_5x_0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'333'!OSRRefP22_16x_0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'413'!OSRRefP22_5x_0</vt:lpstr>
      <vt:lpstr>'414'!OSRRefP22_5x_0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'333'!OSRRefT22_16x_0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'413'!OSRRefT22_5x_0</vt:lpstr>
      <vt:lpstr>'414'!OSRRefT22_5x_0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2022-03-14T21:19:56Z</dcterms:created>
  <dcterms:modified xsi:type="dcterms:W3CDTF">2022-03-14T21:24:04Z</dcterms:modified>
</cp:coreProperties>
</file>